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ac\Downloads\"/>
    </mc:Choice>
  </mc:AlternateContent>
  <xr:revisionPtr revIDLastSave="0" documentId="13_ncr:1_{D32C5436-84A3-40F3-A4C9-B33239A7DDBA}" xr6:coauthVersionLast="47" xr6:coauthVersionMax="47" xr10:uidLastSave="{00000000-0000-0000-0000-000000000000}"/>
  <bookViews>
    <workbookView xWindow="-120" yWindow="-120" windowWidth="29040" windowHeight="15720" tabRatio="703" activeTab="5" xr2:uid="{00000000-000D-0000-FFFF-FFFF00000000}"/>
  </bookViews>
  <sheets>
    <sheet name="Constants" sheetId="6" r:id="rId1"/>
    <sheet name="Current - Variables" sheetId="4" r:id="rId2"/>
    <sheet name="Current Cost Structure" sheetId="1" r:id="rId3"/>
    <sheet name="Proposed - Variables" sheetId="7" r:id="rId4"/>
    <sheet name="Virtualized Cost Structure" sheetId="2" r:id="rId5"/>
    <sheet name="Project Cost Summary" sheetId="3" r:id="rId6"/>
  </sheets>
  <definedNames>
    <definedName name="adminCostOnVirtualServer">'Proposed - Variables'!$B$42</definedName>
    <definedName name="administrativeCostPerHourYear1">Constants!$B$12</definedName>
    <definedName name="administrativeRateIncrease">Constants!$B$13</definedName>
    <definedName name="backupTimeGroup1V">'Proposed - Variables'!$B$46</definedName>
    <definedName name="backUpTimeGroup2V">'Proposed - Variables'!$B$47</definedName>
    <definedName name="backUpTimeGroup3V">'Proposed - Variables'!$B$48</definedName>
    <definedName name="backupTimeGroup4V">'Proposed - Variables'!$B$49</definedName>
    <definedName name="costkwHYear1">Constants!$B$19</definedName>
    <definedName name="costNewGroup1Server">'Proposed - Variables'!$B$5</definedName>
    <definedName name="costNewGroup2Server">'Proposed - Variables'!$B$8</definedName>
    <definedName name="costNewGroup3Server">'Proposed - Variables'!$B$11</definedName>
    <definedName name="costNewGroup4Server">'Proposed - Variables'!$B$14</definedName>
    <definedName name="costUnitsGroup1">'Current - Variables'!$B$29</definedName>
    <definedName name="costUnitsGroup2">'Current - Variables'!$B$30</definedName>
    <definedName name="costUnitsGroup3">'Current - Variables'!$B$31</definedName>
    <definedName name="costUnitsGroup4A">'Current - Variables'!$B$32</definedName>
    <definedName name="costUnitsGroup4B">'Current - Variables'!$B$33</definedName>
    <definedName name="dataStorageMonthlyChargeYears1And2">Constants!$B$15</definedName>
    <definedName name="dataStorageMonthlyChargeYears3Thru5">Constants!$B$16</definedName>
    <definedName name="daysInAYear">Constants!$B$7</definedName>
    <definedName name="empsTrainedYears1And2">'Proposed - Variables'!$B$37</definedName>
    <definedName name="empsTrainedYears3Thru5">'Proposed - Variables'!$B$38</definedName>
    <definedName name="hoursInADay">Constants!$B$22</definedName>
    <definedName name="hoursInARealDay">Constants!$B$9</definedName>
    <definedName name="hoursInAWeek">Constants!$B$23</definedName>
    <definedName name="hoursInAYear">Constants!$B$4</definedName>
    <definedName name="hoursPerBackupGroup1">'Current - Variables'!$B$43</definedName>
    <definedName name="hoursPerBackupGroup2">'Current - Variables'!$B$44</definedName>
    <definedName name="hoursPerBackupGroup3">'Current - Variables'!$B$45</definedName>
    <definedName name="hoursPerBackupGroup4A">'Current - Variables'!$B$46</definedName>
    <definedName name="hoursPerBackupGroup4B">'Current - Variables'!$B$47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intenanceCostYear1Group1">'Current - Variables'!$B$23</definedName>
    <definedName name="maintenanceCostYear1Group2">'Current - Variables'!$B$24</definedName>
    <definedName name="maintenanceCostYear1Group3">'Current - Variables'!$B$25</definedName>
    <definedName name="maintenanceCostYear1Group4A">'Current - Variables'!$B$26</definedName>
    <definedName name="maintenanceCostYear1Group4B">'Current - Variables'!$B$27</definedName>
    <definedName name="monthsInAYear">Constants!$B$5</definedName>
    <definedName name="netFiveYearHardCostSavings">'Project Cost Summary'!$C$19</definedName>
    <definedName name="netFiveYearOverallSavings">'Project Cost Summary'!$C$21</definedName>
    <definedName name="netFiveYearSoftCostSavings">'Project Cost Summary'!$C$20</definedName>
    <definedName name="newServerPowerGroup1">'Proposed - Variables'!$B$27</definedName>
    <definedName name="newServerPowerGroup2">'Proposed - Variables'!$B$28</definedName>
    <definedName name="newServerPowerGroup3">'Proposed - Variables'!$B$29</definedName>
    <definedName name="newServerPowerGroup4">'Proposed - Variables'!$B$30</definedName>
    <definedName name="numA">'Current - Variables'!$B$57</definedName>
    <definedName name="numberOfBackUpsGroup1V">'Proposed - Variables'!$B$51</definedName>
    <definedName name="numberOfBackUpsGroup2V">'Proposed - Variables'!$B$52</definedName>
    <definedName name="numberOfBackUpsGroup3V">'Proposed - Variables'!$B$53</definedName>
    <definedName name="numberOfBackUpsGroup4V">'Proposed - Variables'!$B$54</definedName>
    <definedName name="numberOfBackupsPerYearGroup1">'Current - Variables'!$B$49</definedName>
    <definedName name="numberOfBackupsPerYearGroup2">'Current - Variables'!$B$50</definedName>
    <definedName name="numberOfBackupsPerYearGroup3">'Current - Variables'!$B$51</definedName>
    <definedName name="numberOfBackupsPerYearGroup4A">'Current - Variables'!$B$52</definedName>
    <definedName name="numberOfBackupsPerYearGroup4B">'Current - Variables'!$B$53</definedName>
    <definedName name="numNewServersGroup1">'Proposed - Variables'!$B$17</definedName>
    <definedName name="numNewServersGroup2">'Proposed - Variables'!$B$19</definedName>
    <definedName name="numNewServersGroup3">'Proposed - Variables'!$B$21</definedName>
    <definedName name="numNewServersGroup4">'Proposed - Variables'!$B$23</definedName>
    <definedName name="numServersGroup1">'Current - Variables'!$B$5</definedName>
    <definedName name="numServersGroup2">'Current - Variables'!$B$6</definedName>
    <definedName name="numServersGroup3">'Current - Variables'!$B$7</definedName>
    <definedName name="numServersGroup4A">'Current - Variables'!$B$8</definedName>
    <definedName name="numServersGroup4B">'Current - Variables'!$B$9</definedName>
    <definedName name="numVirtualServersGroup1">'Proposed - Variables'!$B$18</definedName>
    <definedName name="numVirtualServersGroup2">'Proposed - Variables'!$B$20</definedName>
    <definedName name="numVirtualServersGroup3">'Proposed - Variables'!$B$22</definedName>
    <definedName name="numVirtualServersGroup4">'Proposed - Variables'!$B$24</definedName>
    <definedName name="powerRateIncrease">Constants!$B$20</definedName>
    <definedName name="securityFirmMonthlyCharge">Constants!$B$14</definedName>
    <definedName name="serverLoadGroup1">'Current - Variables'!$B$17</definedName>
    <definedName name="serverLoadGroup2">'Current - Variables'!$B$18</definedName>
    <definedName name="serverLoadGroup3">'Current - Variables'!$B$19</definedName>
    <definedName name="serverLoadGroup4A">'Current - Variables'!$B$20</definedName>
    <definedName name="serverLoadGroup4B">'Current - Variables'!$B$21</definedName>
    <definedName name="serverMaintenanceRateIncrease">Constants!$B$18</definedName>
    <definedName name="serverPowerGroup1">'Current - Variables'!$B$11</definedName>
    <definedName name="serverPowerGroup2">'Current - Variables'!$B$12</definedName>
    <definedName name="serverPowerGroup3">'Current - Variables'!$B$13</definedName>
    <definedName name="serverPowerGroup4A">'Current - Variables'!$B$14</definedName>
    <definedName name="serverPowerGroup4B">'Current - Variables'!$B$15</definedName>
    <definedName name="subtotalForPowerYear1">'Current Cost Structure'!$B$10</definedName>
    <definedName name="subtotalForPowerYear2">'Current Cost Structure'!$C$10</definedName>
    <definedName name="subtotalForPowerYear3">'Current Cost Structure'!$D$10</definedName>
    <definedName name="subtotalForPowerYear4">'Current Cost Structure'!$E$10</definedName>
    <definedName name="subtotalForPowerYear5">'Current Cost Structure'!$F$10</definedName>
    <definedName name="subtotalForServerMaintenanceYear1">'Current Cost Structure'!$B$17</definedName>
    <definedName name="subtotalForServerMaintenanceYear2">'Current Cost Structure'!$C$17</definedName>
    <definedName name="subtotalForServerMaintenanceYear3">'Current Cost Structure'!$D$17</definedName>
    <definedName name="subtotalForServerMaintenanceYear4">'Current Cost Structure'!$E$17</definedName>
    <definedName name="subtotalForServerMaintenanceYear5">'Current Cost Structure'!$F$17</definedName>
    <definedName name="subtotalForTotalAdministrationCostYear1">'Current Cost Structure'!$B$32</definedName>
    <definedName name="subtotalForTotalAdministrationCostYear2">'Current Cost Structure'!$C$32</definedName>
    <definedName name="subtotalForTotalAdministrationCostYear3">'Current Cost Structure'!$D$32</definedName>
    <definedName name="subtotalForTotalAdministrationCostYear4">'Current Cost Structure'!$E$32</definedName>
    <definedName name="subtotalForTotalAdministrationCostYear5">'Current Cost Structure'!$F$32</definedName>
    <definedName name="subtotalForTotalSeverBackupCostYear1">'Current Cost Structure'!$B$40</definedName>
    <definedName name="subtotalForTotalSeverBackupCostYear2">'Current Cost Structure'!$C$40</definedName>
    <definedName name="subtotalForTotalSeverBackupCostYear3">'Current Cost Structure'!$D$40</definedName>
    <definedName name="subtotalForTotalSeverBackupCostYear4">'Current Cost Structure'!$E$40</definedName>
    <definedName name="subtotalForTotalSeverBackupCostYear5">'Current Cost Structure'!$F$40</definedName>
    <definedName name="subtotalTotalAdministrationCostPYear1">'Virtualized Cost Structure'!$B$33</definedName>
    <definedName name="subtotalTotalAdministrationCostPYear2">'Virtualized Cost Structure'!$C$33</definedName>
    <definedName name="subtotalTotalAdministrationCostPYear3">'Virtualized Cost Structure'!$D$33</definedName>
    <definedName name="subtotalTotalAdministrationCostPYear4">'Virtualized Cost Structure'!$E$33</definedName>
    <definedName name="subtotalTotalAdministrationCostPYear5">'Virtualized Cost Structure'!$F$33</definedName>
    <definedName name="subtotalTotalBackupCostPYear1">'Virtualized Cost Structure'!$B$39</definedName>
    <definedName name="subtotalTotalBackupCostPYear2">'Virtualized Cost Structure'!$C$39</definedName>
    <definedName name="subtotalTotalBackupCostPYear3">'Virtualized Cost Structure'!$D$39</definedName>
    <definedName name="subtotalTotalBackupCostPYear4">'Virtualized Cost Structure'!$E$39</definedName>
    <definedName name="subtotalTotalBackupCostPYear5">'Virtualized Cost Structure'!$F$39</definedName>
    <definedName name="total5YearCurrentCost">'Current Cost Structure'!$G$46</definedName>
    <definedName name="totalHardCosts5YearsVirtualized">'Virtualized Cost Structure'!$G$20</definedName>
    <definedName name="totalHardCostsCurrent">'Current Cost Structure'!$G$22</definedName>
    <definedName name="totalHardCostsYearsVirtualized">'Virtualized Cost Structure'!$G$20</definedName>
    <definedName name="totalMachinePurchases">'Virtualized Cost Structure'!$B$5</definedName>
    <definedName name="totalPowerCost5Years">'Current Cost Structure'!$G$10</definedName>
    <definedName name="totalProposedProject">'Virtualized Cost Structure'!$G$45</definedName>
    <definedName name="totalSecurityAndArchivalCost5Years">'Current Cost Structure'!$G$21</definedName>
    <definedName name="totalServerAdministrationCost5Year">'Current Cost Structure'!$G$32</definedName>
    <definedName name="totalServerAdministrationCost5Years">'Current Cost Structure'!$G$32</definedName>
    <definedName name="totalServerBackupCost5Years">'Current Cost Structure'!$G$40</definedName>
    <definedName name="totalServerMaintenanceCost5Years">'Current Cost Structure'!$G$17</definedName>
    <definedName name="totalSoftCosts5YearsVirtualized">'Virtualized Cost Structure'!$G$41</definedName>
    <definedName name="totalSoftCostsCurrent">'Current Cost Structure'!$G$42</definedName>
    <definedName name="totalSoftCostsYearsVirtualized">'Virtualized Cost Structure'!$G$41</definedName>
    <definedName name="totalSoftwarePurchases">'Virtualized Cost Structure'!$B$6</definedName>
    <definedName name="totalYearlyCostYear1">'Current Cost Structure'!$B$22</definedName>
    <definedName name="totalYearlyCostYear1P">'Virtualized Cost Structure'!$B$20</definedName>
    <definedName name="totalYearlyCostYear2">'Current Cost Structure'!$C$22</definedName>
    <definedName name="totalYearlyCostYear2P">'Virtualized Cost Structure'!$C$20</definedName>
    <definedName name="totalYearlyCostYear3">'Current Cost Structure'!$D$22</definedName>
    <definedName name="totalYearlyCostYear3P">'Virtualized Cost Structure'!$D$20</definedName>
    <definedName name="totalYearlyCostYear4">'Current Cost Structure'!$E$22</definedName>
    <definedName name="totalYearlyCostYear4P">'Virtualized Cost Structure'!$E$20</definedName>
    <definedName name="totalYearlyCostYear5">'Current Cost Structure'!$F$22</definedName>
    <definedName name="totalYearlyCostYear5P">'Virtualized Cost Structure'!$F$20</definedName>
    <definedName name="totalYearlyHardCosts">'Current Cost Structure'!$G$22</definedName>
    <definedName name="totalYearlyHardCostYear1">'Current Cost Structure'!$B$22</definedName>
    <definedName name="totalYearlyHardCostYear2">'Current Cost Structure'!$C$22</definedName>
    <definedName name="totalYearlyHardCostYear3">'Current Cost Structure'!$D$22</definedName>
    <definedName name="totalYearlyHardCostYear4">'Current Cost Structure'!$E$22</definedName>
    <definedName name="totalYearlyHardCostYear5">'Current Cost Structure'!$F$22</definedName>
    <definedName name="totalYearlySoftCosts">'Current Cost Structure'!$G$42</definedName>
    <definedName name="totalYearlySoftCostsYear1">'Current Cost Structure'!$B$42</definedName>
    <definedName name="totalYearlySoftCostsYear2">'Current Cost Structure'!$C$42</definedName>
    <definedName name="totalYearlySoftCostsYear3">'Current Cost Structure'!$D$42</definedName>
    <definedName name="totalYearlySoftCostsYear4">'Current Cost Structure'!$E$42</definedName>
    <definedName name="totalYearlySoftCostsYear5">'Current Cost Structure'!$F$42</definedName>
    <definedName name="totalYearlySoftCostYear1P">'Virtualized Cost Structure'!$B$41</definedName>
    <definedName name="totalYearlySoftCostYear2P">'Virtualized Cost Structure'!$C$41</definedName>
    <definedName name="totalYearlySoftCostYear3P">'Virtualized Cost Structure'!$D$41</definedName>
    <definedName name="totalYearlySoftCostYear4P">'Virtualized Cost Structure'!$E$41</definedName>
    <definedName name="totalYearlySoftCostYear5P">'Virtualized Cost Structure'!$F$41</definedName>
    <definedName name="trainingCostPerEmployee">'Proposed - Variables'!$B$36</definedName>
    <definedName name="virtualizationSoftwareCost">'Proposed - Variables'!$B$32</definedName>
    <definedName name="virtualizationSoftwareMaintenanceRate">'Proposed - Variables'!$B$33</definedName>
    <definedName name="wattsInAKilowatt">Constants!$B$8</definedName>
    <definedName name="weeksAdministrativeTimeGroup1">'Current - Variables'!$B$37</definedName>
    <definedName name="weeksAdministrativeTimeGroup2">'Current - Variables'!$B$38</definedName>
    <definedName name="weeksAdministrativeTimeGroup3">'Current - Variables'!$B$39</definedName>
    <definedName name="weeksAdministrativeTImeGroup4A">'Current - Variables'!$B$40</definedName>
    <definedName name="weeksAdministrativeTImeGroup4B">'Current - Variables'!$B$41</definedName>
    <definedName name="weeksAdminTimeNewServers">'Proposed - Variables'!$B$43</definedName>
    <definedName name="weeksInAYear">Constants!$B$6</definedName>
    <definedName name="year1Group1ServerMaintenance">'Proposed - Variables'!$B$6</definedName>
    <definedName name="year1Group2ServerMaintenance">'Proposed - Variables'!$B$9</definedName>
    <definedName name="year1Group3ServerMaintenance">'Proposed - Variables'!$B$12</definedName>
    <definedName name="year1Group4ServerMaintenance">'Proposed - Variables'!$B$15</definedName>
    <definedName name="year1ServerMaintenanceContractPercentage">'Proposed - Variables'!$B$44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2" l="1"/>
  <c r="C38" i="2"/>
  <c r="D38" i="2"/>
  <c r="E38" i="2"/>
  <c r="F38" i="2"/>
  <c r="F39" i="2" s="1"/>
  <c r="D37" i="2"/>
  <c r="C37" i="2"/>
  <c r="E36" i="2"/>
  <c r="B36" i="2"/>
  <c r="B39" i="2" s="1"/>
  <c r="F36" i="2"/>
  <c r="F37" i="2"/>
  <c r="E37" i="2"/>
  <c r="D36" i="2"/>
  <c r="C36" i="2"/>
  <c r="B37" i="2"/>
  <c r="F35" i="2"/>
  <c r="E35" i="2"/>
  <c r="D35" i="2"/>
  <c r="D39" i="2" s="1"/>
  <c r="C35" i="2"/>
  <c r="B35" i="2"/>
  <c r="F31" i="2"/>
  <c r="E31" i="2"/>
  <c r="D31" i="2"/>
  <c r="C31" i="2"/>
  <c r="B31" i="2"/>
  <c r="F29" i="2"/>
  <c r="E29" i="2"/>
  <c r="D29" i="2"/>
  <c r="C29" i="2"/>
  <c r="B29" i="2"/>
  <c r="F27" i="2"/>
  <c r="E27" i="2"/>
  <c r="D27" i="2"/>
  <c r="C27" i="2"/>
  <c r="B27" i="2"/>
  <c r="F25" i="2"/>
  <c r="E25" i="2"/>
  <c r="D25" i="2"/>
  <c r="C25" i="2"/>
  <c r="C33" i="2" s="1"/>
  <c r="B25" i="2"/>
  <c r="B7" i="2"/>
  <c r="C7" i="2"/>
  <c r="D7" i="2"/>
  <c r="D20" i="2" s="1"/>
  <c r="E7" i="2"/>
  <c r="F7" i="2"/>
  <c r="F16" i="2"/>
  <c r="E16" i="2"/>
  <c r="D16" i="2"/>
  <c r="C16" i="2"/>
  <c r="B16" i="2"/>
  <c r="G5" i="2"/>
  <c r="G6" i="2"/>
  <c r="B44" i="1"/>
  <c r="B24" i="1"/>
  <c r="C7" i="3" s="1"/>
  <c r="E39" i="2"/>
  <c r="F32" i="2"/>
  <c r="G32" i="2" s="1"/>
  <c r="E32" i="2"/>
  <c r="D32" i="2"/>
  <c r="C32" i="2"/>
  <c r="F30" i="2"/>
  <c r="E30" i="2"/>
  <c r="D30" i="2"/>
  <c r="C30" i="2"/>
  <c r="F28" i="2"/>
  <c r="E28" i="2"/>
  <c r="D28" i="2"/>
  <c r="C28" i="2"/>
  <c r="B32" i="2"/>
  <c r="B30" i="2"/>
  <c r="B28" i="2"/>
  <c r="F26" i="2"/>
  <c r="E26" i="2"/>
  <c r="D26" i="2"/>
  <c r="C26" i="2"/>
  <c r="B26" i="2"/>
  <c r="F20" i="2"/>
  <c r="G13" i="3" s="1"/>
  <c r="E20" i="2"/>
  <c r="F13" i="3" s="1"/>
  <c r="B6" i="2"/>
  <c r="B27" i="1"/>
  <c r="F18" i="2"/>
  <c r="E18" i="2"/>
  <c r="D18" i="2"/>
  <c r="C18" i="2"/>
  <c r="B18" i="2"/>
  <c r="F17" i="2"/>
  <c r="E17" i="2"/>
  <c r="D17" i="2"/>
  <c r="C17" i="2"/>
  <c r="B17" i="2"/>
  <c r="F15" i="2"/>
  <c r="F14" i="2"/>
  <c r="G14" i="2" s="1"/>
  <c r="F13" i="2"/>
  <c r="E15" i="2"/>
  <c r="E14" i="2"/>
  <c r="E13" i="2"/>
  <c r="D15" i="2"/>
  <c r="D14" i="2"/>
  <c r="D13" i="2"/>
  <c r="C15" i="2"/>
  <c r="C14" i="2"/>
  <c r="C13" i="2"/>
  <c r="G13" i="2"/>
  <c r="F12" i="2"/>
  <c r="G12" i="2" s="1"/>
  <c r="E12" i="2"/>
  <c r="D12" i="2"/>
  <c r="C12" i="2"/>
  <c r="B12" i="2"/>
  <c r="B15" i="2"/>
  <c r="B14" i="2"/>
  <c r="B13" i="2"/>
  <c r="G8" i="3"/>
  <c r="F8" i="3"/>
  <c r="E8" i="3"/>
  <c r="D8" i="3"/>
  <c r="G18" i="2"/>
  <c r="G17" i="2"/>
  <c r="G15" i="2"/>
  <c r="G11" i="2"/>
  <c r="G10" i="2"/>
  <c r="G9" i="2"/>
  <c r="G8" i="2"/>
  <c r="F11" i="2"/>
  <c r="E11" i="2"/>
  <c r="D11" i="2"/>
  <c r="C11" i="2"/>
  <c r="F10" i="2"/>
  <c r="E10" i="2"/>
  <c r="D10" i="2"/>
  <c r="C10" i="2"/>
  <c r="B11" i="2"/>
  <c r="B10" i="2"/>
  <c r="F9" i="2"/>
  <c r="E9" i="2"/>
  <c r="D9" i="2"/>
  <c r="C9" i="2"/>
  <c r="B9" i="2"/>
  <c r="F8" i="2"/>
  <c r="E8" i="2"/>
  <c r="D8" i="2"/>
  <c r="C8" i="2"/>
  <c r="B8" i="2"/>
  <c r="B5" i="2"/>
  <c r="B15" i="7"/>
  <c r="B12" i="7"/>
  <c r="B9" i="7"/>
  <c r="B6" i="7"/>
  <c r="F46" i="1"/>
  <c r="E46" i="1"/>
  <c r="D46" i="1"/>
  <c r="C46" i="1"/>
  <c r="B46" i="1"/>
  <c r="G46" i="1" s="1"/>
  <c r="B48" i="1" s="1"/>
  <c r="B10" i="3" s="1"/>
  <c r="F42" i="1"/>
  <c r="E42" i="1"/>
  <c r="D42" i="1"/>
  <c r="C42" i="1"/>
  <c r="B42" i="1"/>
  <c r="C8" i="3" s="1"/>
  <c r="F40" i="1"/>
  <c r="E40" i="1"/>
  <c r="D40" i="1"/>
  <c r="C40" i="1"/>
  <c r="B40" i="1"/>
  <c r="F22" i="1"/>
  <c r="E22" i="1"/>
  <c r="D22" i="1"/>
  <c r="C22" i="1"/>
  <c r="B22" i="1"/>
  <c r="G22" i="1"/>
  <c r="G17" i="1"/>
  <c r="F17" i="1"/>
  <c r="E17" i="1"/>
  <c r="D17" i="1"/>
  <c r="C17" i="1"/>
  <c r="B17" i="1"/>
  <c r="F16" i="1"/>
  <c r="E16" i="1"/>
  <c r="D16" i="1"/>
  <c r="C16" i="1"/>
  <c r="F15" i="1"/>
  <c r="E15" i="1"/>
  <c r="D15" i="1"/>
  <c r="C15" i="1"/>
  <c r="G14" i="1"/>
  <c r="F14" i="1"/>
  <c r="E14" i="1"/>
  <c r="D14" i="1"/>
  <c r="C14" i="1"/>
  <c r="G13" i="1"/>
  <c r="F13" i="1"/>
  <c r="E13" i="1"/>
  <c r="D13" i="1"/>
  <c r="C13" i="1"/>
  <c r="B16" i="1"/>
  <c r="B15" i="1"/>
  <c r="B14" i="1"/>
  <c r="B13" i="1"/>
  <c r="G12" i="1"/>
  <c r="F12" i="1"/>
  <c r="E12" i="1"/>
  <c r="D12" i="1"/>
  <c r="C12" i="1"/>
  <c r="B12" i="1"/>
  <c r="G40" i="1"/>
  <c r="G39" i="1"/>
  <c r="F39" i="1"/>
  <c r="E39" i="1"/>
  <c r="D39" i="1"/>
  <c r="C39" i="1"/>
  <c r="B39" i="1"/>
  <c r="G38" i="1"/>
  <c r="F38" i="1"/>
  <c r="E38" i="1"/>
  <c r="D38" i="1"/>
  <c r="C38" i="1"/>
  <c r="B38" i="1"/>
  <c r="G37" i="1"/>
  <c r="F37" i="1"/>
  <c r="E37" i="1"/>
  <c r="D37" i="1"/>
  <c r="C37" i="1"/>
  <c r="B37" i="1"/>
  <c r="F36" i="1"/>
  <c r="E36" i="1"/>
  <c r="D36" i="1"/>
  <c r="C36" i="1"/>
  <c r="B36" i="1"/>
  <c r="F35" i="1"/>
  <c r="E35" i="1"/>
  <c r="D35" i="1"/>
  <c r="C35" i="1"/>
  <c r="B35" i="1"/>
  <c r="F32" i="1"/>
  <c r="E32" i="1"/>
  <c r="D32" i="1"/>
  <c r="C32" i="1"/>
  <c r="B32" i="1"/>
  <c r="G21" i="1"/>
  <c r="G10" i="1"/>
  <c r="G31" i="1"/>
  <c r="G30" i="1"/>
  <c r="G29" i="1"/>
  <c r="G28" i="1"/>
  <c r="G27" i="1"/>
  <c r="G32" i="1" s="1"/>
  <c r="G42" i="1" s="1"/>
  <c r="C9" i="3" s="1"/>
  <c r="F31" i="1"/>
  <c r="E31" i="1"/>
  <c r="D31" i="1"/>
  <c r="C31" i="1"/>
  <c r="F30" i="1"/>
  <c r="E30" i="1"/>
  <c r="D30" i="1"/>
  <c r="C30" i="1"/>
  <c r="F29" i="1"/>
  <c r="E29" i="1"/>
  <c r="D29" i="1"/>
  <c r="C29" i="1"/>
  <c r="F28" i="1"/>
  <c r="E28" i="1"/>
  <c r="D28" i="1"/>
  <c r="C28" i="1"/>
  <c r="F27" i="1"/>
  <c r="E27" i="1"/>
  <c r="D27" i="1"/>
  <c r="C27" i="1"/>
  <c r="B31" i="1"/>
  <c r="B30" i="1"/>
  <c r="B29" i="1"/>
  <c r="B28" i="1"/>
  <c r="F10" i="1"/>
  <c r="E10" i="1"/>
  <c r="D10" i="1"/>
  <c r="C10" i="1"/>
  <c r="B10" i="1"/>
  <c r="F9" i="1"/>
  <c r="E9" i="1"/>
  <c r="D9" i="1"/>
  <c r="C9" i="1"/>
  <c r="B9" i="1"/>
  <c r="F8" i="1"/>
  <c r="E8" i="1"/>
  <c r="D8" i="1"/>
  <c r="C8" i="1"/>
  <c r="B8" i="1"/>
  <c r="F7" i="1"/>
  <c r="E7" i="1"/>
  <c r="D7" i="1"/>
  <c r="C7" i="1"/>
  <c r="B7" i="1"/>
  <c r="F6" i="1"/>
  <c r="E6" i="1"/>
  <c r="D6" i="1"/>
  <c r="C6" i="1"/>
  <c r="B6" i="1"/>
  <c r="B5" i="1"/>
  <c r="C6" i="3" s="1"/>
  <c r="G20" i="1"/>
  <c r="G19" i="1"/>
  <c r="F20" i="1"/>
  <c r="E20" i="1"/>
  <c r="D20" i="1"/>
  <c r="C20" i="1"/>
  <c r="B20" i="1"/>
  <c r="F19" i="1"/>
  <c r="E19" i="1"/>
  <c r="D19" i="1"/>
  <c r="C19" i="1"/>
  <c r="B19" i="1"/>
  <c r="F5" i="1"/>
  <c r="G6" i="3" s="1"/>
  <c r="E5" i="1"/>
  <c r="F6" i="3" s="1"/>
  <c r="D5" i="1"/>
  <c r="E6" i="3" s="1"/>
  <c r="C5" i="1"/>
  <c r="D61" i="4"/>
  <c r="C39" i="2" l="1"/>
  <c r="G39" i="2"/>
  <c r="G31" i="2"/>
  <c r="D33" i="2"/>
  <c r="D41" i="2" s="1"/>
  <c r="E15" i="3" s="1"/>
  <c r="B33" i="2"/>
  <c r="B41" i="2" s="1"/>
  <c r="C15" i="3" s="1"/>
  <c r="F33" i="2"/>
  <c r="F41" i="2" s="1"/>
  <c r="G15" i="3" s="1"/>
  <c r="E33" i="2"/>
  <c r="E41" i="2" s="1"/>
  <c r="F15" i="3" s="1"/>
  <c r="C41" i="2"/>
  <c r="D15" i="3" s="1"/>
  <c r="B20" i="2"/>
  <c r="E13" i="3"/>
  <c r="G38" i="2"/>
  <c r="G36" i="2"/>
  <c r="G37" i="2"/>
  <c r="G35" i="2"/>
  <c r="G30" i="2"/>
  <c r="G29" i="2"/>
  <c r="G28" i="2"/>
  <c r="G27" i="2"/>
  <c r="G26" i="2"/>
  <c r="G25" i="2"/>
  <c r="G7" i="2"/>
  <c r="C20" i="2"/>
  <c r="G20" i="2" s="1"/>
  <c r="G16" i="2"/>
  <c r="G16" i="1"/>
  <c r="G15" i="1"/>
  <c r="G36" i="1"/>
  <c r="G35" i="1"/>
  <c r="G9" i="1"/>
  <c r="G8" i="1"/>
  <c r="G7" i="1"/>
  <c r="G6" i="1"/>
  <c r="G5" i="1"/>
  <c r="D6" i="3"/>
  <c r="F45" i="2" l="1"/>
  <c r="E45" i="2"/>
  <c r="G33" i="2"/>
  <c r="D45" i="2"/>
  <c r="G41" i="2"/>
  <c r="B43" i="2" s="1"/>
  <c r="C16" i="3" s="1"/>
  <c r="C20" i="3"/>
  <c r="C13" i="3"/>
  <c r="B45" i="2"/>
  <c r="C19" i="3"/>
  <c r="B22" i="2"/>
  <c r="C14" i="3" s="1"/>
  <c r="C45" i="2"/>
  <c r="D13" i="3"/>
  <c r="C21" i="3" l="1"/>
  <c r="G45" i="2"/>
  <c r="B47" i="2" s="1"/>
  <c r="B17" i="3" s="1"/>
</calcChain>
</file>

<file path=xl/sharedStrings.xml><?xml version="1.0" encoding="utf-8"?>
<sst xmlns="http://schemas.openxmlformats.org/spreadsheetml/2006/main" count="314" uniqueCount="265">
  <si>
    <t>Category</t>
  </si>
  <si>
    <t>Hard Costs</t>
  </si>
  <si>
    <t>Total Yearly Hard Costs</t>
  </si>
  <si>
    <t>Soft Costs</t>
  </si>
  <si>
    <t>Total Yearly Soft Costs</t>
  </si>
  <si>
    <t>Cost</t>
  </si>
  <si>
    <t>Year 1</t>
  </si>
  <si>
    <t>Year 2</t>
  </si>
  <si>
    <t>Year 3</t>
  </si>
  <si>
    <t>Year 4</t>
  </si>
  <si>
    <t>Year 5</t>
  </si>
  <si>
    <t>Total Five Year Hard Costs =</t>
  </si>
  <si>
    <t>Total Five Year Soft Costs =</t>
  </si>
  <si>
    <t>Machine Purchases</t>
  </si>
  <si>
    <t>Software Purchases</t>
  </si>
  <si>
    <t>Software Maintenance</t>
  </si>
  <si>
    <t>Training</t>
  </si>
  <si>
    <t>Virtualization Project Cost Summary</t>
  </si>
  <si>
    <t>Current Infrastructure Costs</t>
  </si>
  <si>
    <t>Virtualized Infrastructure Costs</t>
  </si>
  <si>
    <t>Total Five Year Hard Costs</t>
  </si>
  <si>
    <t>Total Five Year Soft Costs</t>
  </si>
  <si>
    <t>Net Five Year Hard Cost Savings</t>
  </si>
  <si>
    <t>Net Five Year Soft Cost Savings</t>
  </si>
  <si>
    <t>Net Five Year Overall Cost Savings</t>
  </si>
  <si>
    <t>Value</t>
  </si>
  <si>
    <t>Variable Description</t>
  </si>
  <si>
    <t>Variable Name</t>
  </si>
  <si>
    <t>number of hours in 1 year (24 hrs/day * 365 days/yr)</t>
  </si>
  <si>
    <t>hoursInADay</t>
  </si>
  <si>
    <t>number of hours in 1 administrative day</t>
  </si>
  <si>
    <t>Constants</t>
  </si>
  <si>
    <t>securityFirmMonthlyCharge</t>
  </si>
  <si>
    <t>cost per month for security auditing service - outside vendor</t>
  </si>
  <si>
    <t>dataStorageMonthlyChargeYears1And2</t>
  </si>
  <si>
    <t>dataStorageMonthlyChargeYears3Thru5</t>
  </si>
  <si>
    <t>cost per month for storing archival backups - years 3,4 5 - outside vendor</t>
  </si>
  <si>
    <t>cost per month for storing archival backups - years 1 &amp; 2 - outside vendor</t>
  </si>
  <si>
    <t>numServersGroup2</t>
  </si>
  <si>
    <t>serverPowerGroup2</t>
  </si>
  <si>
    <t>serverLoadGroup2</t>
  </si>
  <si>
    <t>maintenanceCostYear1Group2</t>
  </si>
  <si>
    <t>costkwHYear1</t>
  </si>
  <si>
    <t>cost of 1 kwH or power in year 1</t>
  </si>
  <si>
    <t>powerRateIncrease</t>
  </si>
  <si>
    <t>assume 2% increase in cost of power/year of study</t>
  </si>
  <si>
    <t>Power - Group 2</t>
  </si>
  <si>
    <t>assume 3% increase in server maintenance cost each year of study</t>
  </si>
  <si>
    <t>Server Maintenance - Group 2</t>
  </si>
  <si>
    <t>Security Auditing Costs</t>
  </si>
  <si>
    <t>Archival/Storage Costs</t>
  </si>
  <si>
    <t>monthsInAYear</t>
  </si>
  <si>
    <t>hoursInAYear</t>
  </si>
  <si>
    <t>Server Administration - Group 2</t>
  </si>
  <si>
    <t>weeksAdministrativeTimeGroup2</t>
  </si>
  <si>
    <t>cost of administrative time per hour in year 1</t>
  </si>
  <si>
    <t>administrativeCostPerHourYear1</t>
  </si>
  <si>
    <t>administrativeRateIncrease</t>
  </si>
  <si>
    <t>administrative pay increase amount</t>
  </si>
  <si>
    <t>weeksInAYear</t>
  </si>
  <si>
    <t>number of months in a year</t>
  </si>
  <si>
    <t>number of weeks in a year</t>
  </si>
  <si>
    <t>hoursInAWeek</t>
  </si>
  <si>
    <t>number of hours in 1 administrative week</t>
  </si>
  <si>
    <t>hoursPerBackupGroup2</t>
  </si>
  <si>
    <t>numberOfBackupsPerYearGroup2</t>
  </si>
  <si>
    <t>costNewGroup2Server</t>
  </si>
  <si>
    <t>year1Group2ServerMaintenance</t>
  </si>
  <si>
    <t>first year service maintenance cost for server in group 2</t>
  </si>
  <si>
    <t>numNewServersGroup1</t>
  </si>
  <si>
    <t>number of new physical servers in Group 1</t>
  </si>
  <si>
    <t>numVirtualServersGroup1</t>
  </si>
  <si>
    <t>numNewServersGroup2</t>
  </si>
  <si>
    <t>number of new physical servers in Group 2</t>
  </si>
  <si>
    <t>numVirtualServersGroup2</t>
  </si>
  <si>
    <t>numNewServersGroup3</t>
  </si>
  <si>
    <t>costNewGroup1Server</t>
  </si>
  <si>
    <t>cost of a new group 1 server</t>
  </si>
  <si>
    <t>first year service maintenance cost for server in group 1</t>
  </si>
  <si>
    <t>year1Group1ServerMaintenance</t>
  </si>
  <si>
    <t>costNewGroup3Server</t>
  </si>
  <si>
    <t>cost of a new group 3 server</t>
  </si>
  <si>
    <t>year1Group3ServerMaintenance</t>
  </si>
  <si>
    <t>first year service maintenance cost for server in group 3</t>
  </si>
  <si>
    <t>number of new physical servers in Group 3</t>
  </si>
  <si>
    <t>numVirtualServersGroup3</t>
  </si>
  <si>
    <t>newServerPowerGroup1</t>
  </si>
  <si>
    <t>newServerPowerGroup2</t>
  </si>
  <si>
    <t>newServerPowerGroup3</t>
  </si>
  <si>
    <t>virtualizationSoftwareCost</t>
  </si>
  <si>
    <t>cost in dollars for virtualization software for 1 server.</t>
  </si>
  <si>
    <t>% of original cost to maintain virtualization software</t>
  </si>
  <si>
    <t>virtualizationSoftwareMaintenanceRate</t>
  </si>
  <si>
    <t>serverMaintenanceRateIncrease</t>
  </si>
  <si>
    <t>trainingCostPerEmployee</t>
  </si>
  <si>
    <t>cost per year to train one employee on virtualized system</t>
  </si>
  <si>
    <t>empsTrainedYears3Thru5</t>
  </si>
  <si>
    <t>number of employees trained in years 1 and 2 of the study</t>
  </si>
  <si>
    <t>number of employees trained in years 3 through 5 of the study</t>
  </si>
  <si>
    <t>empsTrainedYears1And2</t>
  </si>
  <si>
    <t>Server Administration Group 1 - Physical</t>
  </si>
  <si>
    <t>Server Administration Group 2 - Physical</t>
  </si>
  <si>
    <t>ServerAdministration Group 3 - Physical</t>
  </si>
  <si>
    <t>Server Admin Group 1 - Virtual Systems</t>
  </si>
  <si>
    <t>Server Admin Group 2 - Virtual Systems</t>
  </si>
  <si>
    <t>Server Admin Group 3 - Virtual Systems</t>
  </si>
  <si>
    <t>adminCostOnVirtualServer</t>
  </si>
  <si>
    <t>percentage of regular admin cost associated with a virtual server</t>
  </si>
  <si>
    <t>Group 1 Backup</t>
  </si>
  <si>
    <t>Group 2 Backup</t>
  </si>
  <si>
    <t>Group 3 Backup</t>
  </si>
  <si>
    <t>daysInAYear</t>
  </si>
  <si>
    <t>number of days in 1 year</t>
  </si>
  <si>
    <t>wattsInAKilowatt</t>
  </si>
  <si>
    <t>number of watts in one kilowatt</t>
  </si>
  <si>
    <t>numberOfBackUpsGroup3V</t>
  </si>
  <si>
    <t>numberOfBackUpsGroup2V</t>
  </si>
  <si>
    <t>numberOfBackUpsGroup1V</t>
  </si>
  <si>
    <t>backUpTimeGroup2V</t>
  </si>
  <si>
    <t>backupTimeGroup1V</t>
  </si>
  <si>
    <t>backUpTimeGroup3V</t>
  </si>
  <si>
    <t>hours per backup of physical servers + virtual servers - Group 1</t>
  </si>
  <si>
    <t>hours per backup of physical servers + virtual servers - Group 2</t>
  </si>
  <si>
    <t>hours per backup of physical servers + virtual servers - Group 3</t>
  </si>
  <si>
    <t>number of backup of physical servers + virtual servers per year - Group 1</t>
  </si>
  <si>
    <t>number of backup of physical servers + virtual servers per year - Group 2</t>
  </si>
  <si>
    <t>number of backup of physical servers + virtual servers per year - Group 3</t>
  </si>
  <si>
    <t>number of virtualized servers in Group 1</t>
  </si>
  <si>
    <t>number of virtualized servers in Group 2</t>
  </si>
  <si>
    <t>number of virtualized servers in Group 3</t>
  </si>
  <si>
    <t>power in watts of a server in group 1</t>
  </si>
  <si>
    <t xml:space="preserve">power in watts of a server in group 2 </t>
  </si>
  <si>
    <t>power in watts of a server in group 3</t>
  </si>
  <si>
    <t>Total Power Costs/Year</t>
  </si>
  <si>
    <t>Total Server Maintenance Costs/Year</t>
  </si>
  <si>
    <t>5 Year Totals</t>
  </si>
  <si>
    <t>Total Server Administration Costs/Year</t>
  </si>
  <si>
    <t>Total Server Backup Costs/Year</t>
  </si>
  <si>
    <t>Total Current Cost/Year</t>
  </si>
  <si>
    <t>Total 5 Year Cost</t>
  </si>
  <si>
    <t>Virtualized Infrastructure Yearly Costs - Proposed Project Costs</t>
  </si>
  <si>
    <t>Total Administration Cost/Year</t>
  </si>
  <si>
    <t>Total Backup Cost/Year</t>
  </si>
  <si>
    <t>Total Proposed Project Costs/Year</t>
  </si>
  <si>
    <t>Total 5 Year Proposed Project Cost</t>
  </si>
  <si>
    <t>Total 5 YearCurrent Cost</t>
  </si>
  <si>
    <t>numServersGroup1</t>
  </si>
  <si>
    <t>numServersGroup3</t>
  </si>
  <si>
    <t>Power - Group 1</t>
  </si>
  <si>
    <t>Power - Group 3</t>
  </si>
  <si>
    <t>Server Maintenance - Group 1</t>
  </si>
  <si>
    <t>Server Maintenance - Group 3</t>
  </si>
  <si>
    <t>numServersGroup4A</t>
  </si>
  <si>
    <t>numServersGroup4B</t>
  </si>
  <si>
    <t>serverPowerGroup1</t>
  </si>
  <si>
    <t>serverPowerGroup3</t>
  </si>
  <si>
    <t>serverPowerGroup4A</t>
  </si>
  <si>
    <t>serverPowerGroup4B</t>
  </si>
  <si>
    <t>serverLoadGroup1</t>
  </si>
  <si>
    <t>serverLoadGroup3</t>
  </si>
  <si>
    <t>serverLoadGroup4A</t>
  </si>
  <si>
    <t>serverLoadGroup4B</t>
  </si>
  <si>
    <t>maintenanceCostYear1Group1</t>
  </si>
  <si>
    <t>maintenanceCostYear1Group3</t>
  </si>
  <si>
    <t>maintenanceCostYear1Group4A</t>
  </si>
  <si>
    <t>maintenanceCostYear1Group4B</t>
  </si>
  <si>
    <t>weeksAdministrativeTimeGroup1</t>
  </si>
  <si>
    <t>weeksAdministrativeTimeGroup3</t>
  </si>
  <si>
    <t>weeksAdministrativeTImeGroup4A</t>
  </si>
  <si>
    <t>weeksAdministrativeTImeGroup4B</t>
  </si>
  <si>
    <t>hoursPerBackupGroup1</t>
  </si>
  <si>
    <t>hoursPerBackupGroup3</t>
  </si>
  <si>
    <t>hoursPerBackupGroup4A</t>
  </si>
  <si>
    <t>hoursPerBackupGroup4B</t>
  </si>
  <si>
    <t>numberOfBackupsPerYearGroup1</t>
  </si>
  <si>
    <t>numberOfBackupsPerYearGroup3</t>
  </si>
  <si>
    <t>numberOfBackupsPerYearGroup4A</t>
  </si>
  <si>
    <t>numberOfBackupsPerYearGroup4B</t>
  </si>
  <si>
    <t>power in watts of the servers in group 4A</t>
  </si>
  <si>
    <t>power in watts of the servers in group 4B</t>
  </si>
  <si>
    <t>average load of servers in group 4A</t>
  </si>
  <si>
    <t>average load of servers in group 4B</t>
  </si>
  <si>
    <t>weeks of administrative time per server Group 4A</t>
  </si>
  <si>
    <t>weeks of administrative time per server Group 4B</t>
  </si>
  <si>
    <t>hours per backup of server in Group 4A</t>
  </si>
  <si>
    <t>hours per backup of server in Group 4B</t>
  </si>
  <si>
    <t>Power - Group 4A</t>
  </si>
  <si>
    <t>Power - Group 4B</t>
  </si>
  <si>
    <t>Server Maintenance - Group 4A</t>
  </si>
  <si>
    <t>Server Maintenance - Group 4B</t>
  </si>
  <si>
    <t>Server Administration - Group 1</t>
  </si>
  <si>
    <t>Server Administration - Group 3</t>
  </si>
  <si>
    <t>Server Administration - Group 4A</t>
  </si>
  <si>
    <t>Server Administration - Group 4B</t>
  </si>
  <si>
    <t>Server Backup - Group 1</t>
  </si>
  <si>
    <t>Server Backup - Group 3</t>
  </si>
  <si>
    <t>Server Backup - Group 4A</t>
  </si>
  <si>
    <t>Server Backup - Group 4B</t>
  </si>
  <si>
    <t>costNewGroup4Server</t>
  </si>
  <si>
    <t>year1Group4ServerMaintenance</t>
  </si>
  <si>
    <t>numNewServersGroup4</t>
  </si>
  <si>
    <t>numVirtualServersGroup4</t>
  </si>
  <si>
    <t>cost of a new group4 server</t>
  </si>
  <si>
    <t>first year service maintenance cost for server in group 4</t>
  </si>
  <si>
    <t>number of virtualized servers in Group 4</t>
  </si>
  <si>
    <t>number of new physical servers in Group 4</t>
  </si>
  <si>
    <t>newServerPowerGroup4</t>
  </si>
  <si>
    <t>power in watts of a server in group 4</t>
  </si>
  <si>
    <t>backupTimeGroup4V</t>
  </si>
  <si>
    <t>numberOfBackUpsGroup4V</t>
  </si>
  <si>
    <t>number of backup of physical servers + virtual servers per year - Group 4</t>
  </si>
  <si>
    <t>Powert Group 4</t>
  </si>
  <si>
    <t>Server Maintenance - Group 4</t>
  </si>
  <si>
    <t>Server Administration Group 4 - Physical</t>
  </si>
  <si>
    <t>Server Administration Group 4 - Virtual</t>
  </si>
  <si>
    <t>Group 4 Backup</t>
  </si>
  <si>
    <t>cost of a new group 2 server</t>
  </si>
  <si>
    <t>Shared Variables</t>
  </si>
  <si>
    <t>These are not constants but are variables which are shared across both scenarios</t>
  </si>
  <si>
    <t>Variables Used In The Current Scenario Spreadsheet</t>
  </si>
  <si>
    <t>Current Scenario Yearly Costs</t>
  </si>
  <si>
    <t>Variables Used In The Proposed Scenario Spreadsheet</t>
  </si>
  <si>
    <t>Constants and Shared Variables WorkSheet</t>
  </si>
  <si>
    <t>Group 4A consists of this many  servers - backup servers</t>
  </si>
  <si>
    <t>Group 4B consists of this many  servers - backup servers</t>
  </si>
  <si>
    <t>costUnitsGroup1</t>
  </si>
  <si>
    <t>costUnitsGroup2</t>
  </si>
  <si>
    <t>costUnitsGroup3</t>
  </si>
  <si>
    <t>costUnitsGroup4A</t>
  </si>
  <si>
    <t>costUnitsGroup4B</t>
  </si>
  <si>
    <t>weeksAdminTimeNewServers</t>
  </si>
  <si>
    <t>year1ServerMaintenanceContractPercentage</t>
  </si>
  <si>
    <t>hoursInARealDay</t>
  </si>
  <si>
    <t>cost of maintenance contract year 1/100 servers in group 4A</t>
  </si>
  <si>
    <t>cost of maintenance contract year 1/100servers in group 4B</t>
  </si>
  <si>
    <t>15000 servers in group 1 - 15000/100 = 150</t>
  </si>
  <si>
    <t>flat rate = 1 cost unit for group 3</t>
  </si>
  <si>
    <t xml:space="preserve">weeks of administrative time per server Group 1 </t>
  </si>
  <si>
    <t xml:space="preserve">weeks of administrative time per server Group  2 </t>
  </si>
  <si>
    <t xml:space="preserve">weeks of administrative time per server Group 3 </t>
  </si>
  <si>
    <t xml:space="preserve">hours per backup of server in Group 1 </t>
  </si>
  <si>
    <t xml:space="preserve">hours per backup of server in Group 2 </t>
  </si>
  <si>
    <t xml:space="preserve">hours per backup of server in Group 3 </t>
  </si>
  <si>
    <t xml:space="preserve">number of backups performed on servers in Group 1 in 1 year </t>
  </si>
  <si>
    <t>number of backups performed on servers in Group 2 in 1 year</t>
  </si>
  <si>
    <t xml:space="preserve">number of backups performed on servers in Group 3 in 1 year </t>
  </si>
  <si>
    <t xml:space="preserve">number of backups performed on servers in Group 4A in 1 year </t>
  </si>
  <si>
    <t xml:space="preserve">number of backups performed on servers in Group 4B in 1 year </t>
  </si>
  <si>
    <t xml:space="preserve">4000 servers in group 2 </t>
  </si>
  <si>
    <t xml:space="preserve">700 servers in group 4A </t>
  </si>
  <si>
    <t xml:space="preserve">200 servers in group 4B </t>
  </si>
  <si>
    <t>cost of maintenance contract year 1 - servers in group 3</t>
  </si>
  <si>
    <t xml:space="preserve">cost of maintenance contract year 1/100 servers in group 2 </t>
  </si>
  <si>
    <t>cost of maintenance contract year 1/100 servers in group 1</t>
  </si>
  <si>
    <t xml:space="preserve">average load of the servers in group 3 </t>
  </si>
  <si>
    <t xml:space="preserve">average load of the servers in group 2  </t>
  </si>
  <si>
    <t xml:space="preserve">average load of the servers in group 1  </t>
  </si>
  <si>
    <t xml:space="preserve">power in watts of the servers in group 1 </t>
  </si>
  <si>
    <t xml:space="preserve">power in watts of the servers in group 2 </t>
  </si>
  <si>
    <t xml:space="preserve">power in watts of the servers in group 3 </t>
  </si>
  <si>
    <t xml:space="preserve">Group 3 consists of this many  servers </t>
  </si>
  <si>
    <t xml:space="preserve">Group 2 consists of this many  servers </t>
  </si>
  <si>
    <t xml:space="preserve">Group1A consists of this many  servers </t>
  </si>
  <si>
    <t>Server Backup - Group 2</t>
  </si>
  <si>
    <t>hours per backup of physical servers + virtual servers -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</si>
</sst>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$&quot;#,##0.00_);[Red]\(&quot;$&quot;#,##0.00\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8" fontId="0" fillId="4" borderId="1" xfId="0" applyNumberFormat="1" applyFill="1" applyBorder="1" applyAlignment="1">
      <alignment horizontal="center"/>
    </xf>
    <xf numFmtId="40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7" borderId="5" xfId="0" applyFill="1" applyBorder="1"/>
    <xf numFmtId="0" fontId="0" fillId="7" borderId="0" xfId="0" applyFill="1"/>
    <xf numFmtId="0" fontId="0" fillId="7" borderId="2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4" fontId="0" fillId="7" borderId="1" xfId="0" applyNumberFormat="1" applyFill="1" applyBorder="1"/>
    <xf numFmtId="0" fontId="1" fillId="7" borderId="1" xfId="0" applyFont="1" applyFill="1" applyBorder="1" applyAlignment="1">
      <alignment horizontal="left"/>
    </xf>
    <xf numFmtId="4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left"/>
    </xf>
    <xf numFmtId="0" fontId="0" fillId="2" borderId="6" xfId="0" applyFill="1" applyBorder="1"/>
    <xf numFmtId="0" fontId="0" fillId="9" borderId="1" xfId="0" applyFill="1" applyBorder="1"/>
    <xf numFmtId="4" fontId="0" fillId="9" borderId="1" xfId="0" applyNumberFormat="1" applyFill="1" applyBorder="1"/>
    <xf numFmtId="0" fontId="1" fillId="7" borderId="1" xfId="0" applyFont="1" applyFill="1" applyBorder="1"/>
    <xf numFmtId="4" fontId="0" fillId="7" borderId="9" xfId="0" applyNumberFormat="1" applyFill="1" applyBorder="1"/>
    <xf numFmtId="4" fontId="0" fillId="7" borderId="10" xfId="0" applyNumberFormat="1" applyFill="1" applyBorder="1"/>
    <xf numFmtId="0" fontId="1" fillId="5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right"/>
    </xf>
    <xf numFmtId="0" fontId="1" fillId="8" borderId="1" xfId="0" applyFont="1" applyFill="1" applyBorder="1"/>
    <xf numFmtId="4" fontId="0" fillId="7" borderId="11" xfId="0" applyNumberFormat="1" applyFill="1" applyBorder="1"/>
    <xf numFmtId="4" fontId="0" fillId="7" borderId="6" xfId="0" applyNumberFormat="1" applyFill="1" applyBorder="1"/>
    <xf numFmtId="4" fontId="0" fillId="7" borderId="7" xfId="0" applyNumberFormat="1" applyFill="1" applyBorder="1"/>
    <xf numFmtId="0" fontId="1" fillId="7" borderId="8" xfId="0" applyFont="1" applyFill="1" applyBorder="1"/>
    <xf numFmtId="0" fontId="1" fillId="7" borderId="8" xfId="0" applyFont="1" applyFill="1" applyBorder="1" applyAlignment="1">
      <alignment horizontal="right"/>
    </xf>
    <xf numFmtId="0" fontId="5" fillId="5" borderId="1" xfId="0" applyFont="1" applyFill="1" applyBorder="1"/>
    <xf numFmtId="0" fontId="5" fillId="5" borderId="12" xfId="0" applyFont="1" applyFill="1" applyBorder="1"/>
    <xf numFmtId="0" fontId="5" fillId="5" borderId="5" xfId="0" applyFont="1" applyFill="1" applyBorder="1"/>
    <xf numFmtId="0" fontId="1" fillId="8" borderId="8" xfId="0" applyFont="1" applyFill="1" applyBorder="1" applyAlignment="1">
      <alignment horizontal="left"/>
    </xf>
    <xf numFmtId="0" fontId="1" fillId="11" borderId="1" xfId="0" applyFont="1" applyFill="1" applyBorder="1"/>
    <xf numFmtId="4" fontId="0" fillId="4" borderId="0" xfId="0" applyNumberFormat="1" applyFill="1"/>
    <xf numFmtId="0" fontId="1" fillId="12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5" fillId="11" borderId="1" xfId="0" applyFont="1" applyFill="1" applyBorder="1" applyAlignment="1">
      <alignment horizontal="right"/>
    </xf>
    <xf numFmtId="4" fontId="0" fillId="0" borderId="13" xfId="0" applyNumberFormat="1" applyBorder="1" applyAlignment="1">
      <alignment horizontal="right"/>
    </xf>
    <xf numFmtId="0" fontId="0" fillId="8" borderId="1" xfId="0" applyFill="1" applyBorder="1"/>
    <xf numFmtId="0" fontId="0" fillId="7" borderId="13" xfId="0" applyFill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1" fillId="3" borderId="1" xfId="0" applyFont="1" applyFill="1" applyBorder="1"/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/>
    <xf numFmtId="164" fontId="0" fillId="8" borderId="1" xfId="0" applyNumberFormat="1" applyFill="1" applyBorder="1" applyAlignment="1">
      <alignment horizontal="right"/>
    </xf>
    <xf numFmtId="164" fontId="0" fillId="10" borderId="1" xfId="0" applyNumberFormat="1" applyFill="1" applyBorder="1"/>
    <xf numFmtId="164" fontId="0" fillId="7" borderId="1" xfId="0" applyNumberFormat="1" applyFill="1" applyBorder="1"/>
    <xf numFmtId="164" fontId="0" fillId="5" borderId="1" xfId="0" applyNumberFormat="1" applyFill="1" applyBorder="1"/>
    <xf numFmtId="164" fontId="0" fillId="8" borderId="1" xfId="0" applyNumberFormat="1" applyFill="1" applyBorder="1"/>
    <xf numFmtId="164" fontId="0" fillId="11" borderId="1" xfId="0" applyNumberFormat="1" applyFill="1" applyBorder="1"/>
    <xf numFmtId="164" fontId="0" fillId="0" borderId="0" xfId="0" applyNumberFormat="1"/>
    <xf numFmtId="164" fontId="0" fillId="12" borderId="1" xfId="0" applyNumberFormat="1" applyFill="1" applyBorder="1"/>
    <xf numFmtId="164" fontId="0" fillId="6" borderId="1" xfId="0" applyNumberFormat="1" applyFill="1" applyBorder="1"/>
    <xf numFmtId="164" fontId="6" fillId="9" borderId="1" xfId="0" applyNumberFormat="1" applyFont="1" applyFill="1" applyBorder="1"/>
    <xf numFmtId="164" fontId="6" fillId="13" borderId="1" xfId="0" applyNumberFormat="1" applyFont="1" applyFill="1" applyBorder="1"/>
    <xf numFmtId="164" fontId="5" fillId="11" borderId="1" xfId="0" applyNumberFormat="1" applyFont="1" applyFill="1" applyBorder="1"/>
    <xf numFmtId="0" fontId="9" fillId="3" borderId="8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9" fillId="3" borderId="10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9" borderId="1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12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7" borderId="4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4" fontId="0" fillId="7" borderId="12" xfId="0" applyNumberFormat="1" applyFill="1" applyBorder="1"/>
    <xf numFmtId="4" fontId="0" fillId="7" borderId="3" xfId="0" applyNumberFormat="1" applyFill="1" applyBorder="1"/>
    <xf numFmtId="4" fontId="0" fillId="7" borderId="4" xfId="0" applyNumberFormat="1" applyFill="1" applyBorder="1"/>
    <xf numFmtId="4" fontId="0" fillId="7" borderId="11" xfId="0" applyNumberFormat="1" applyFill="1" applyBorder="1"/>
    <xf numFmtId="4" fontId="0" fillId="7" borderId="6" xfId="0" applyNumberFormat="1" applyFill="1" applyBorder="1"/>
    <xf numFmtId="4" fontId="0" fillId="7" borderId="7" xfId="0" applyNumberFormat="1" applyFill="1" applyBorder="1"/>
    <xf numFmtId="0" fontId="8" fillId="2" borderId="6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" fontId="0" fillId="7" borderId="8" xfId="0" applyNumberFormat="1" applyFill="1" applyBorder="1" applyAlignment="1">
      <alignment horizontal="center"/>
    </xf>
    <xf numFmtId="4" fontId="0" fillId="7" borderId="9" xfId="0" applyNumberFormat="1" applyFill="1" applyBorder="1" applyAlignment="1">
      <alignment horizontal="center"/>
    </xf>
    <xf numFmtId="4" fontId="0" fillId="7" borderId="10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horizontal="right"/>
    </xf>
    <xf numFmtId="0" fontId="6" fillId="13" borderId="1" xfId="0" applyFont="1" applyFill="1" applyBorder="1" applyAlignment="1">
      <alignment horizontal="right"/>
    </xf>
    <xf numFmtId="0" fontId="8" fillId="14" borderId="12" xfId="0" applyFont="1" applyFill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4" fontId="0" fillId="7" borderId="8" xfId="0" applyNumberFormat="1" applyFill="1" applyBorder="1" applyAlignment="1">
      <alignment horizontal="right"/>
    </xf>
    <xf numFmtId="4" fontId="0" fillId="7" borderId="9" xfId="0" applyNumberFormat="1" applyFill="1" applyBorder="1" applyAlignment="1">
      <alignment horizontal="right"/>
    </xf>
    <xf numFmtId="4" fontId="0" fillId="7" borderId="10" xfId="0" applyNumberFormat="1" applyFill="1" applyBorder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zoomScale="115" zoomScaleNormal="115" workbookViewId="0">
      <selection activeCell="B23" sqref="B23"/>
    </sheetView>
  </sheetViews>
  <sheetFormatPr defaultColWidth="8.85546875" defaultRowHeight="15" x14ac:dyDescent="0.25"/>
  <cols>
    <col min="1" max="1" width="20.5703125" bestFit="1" customWidth="1"/>
    <col min="2" max="2" width="17.7109375" customWidth="1"/>
    <col min="3" max="3" width="36.7109375" bestFit="1" customWidth="1"/>
    <col min="4" max="4" width="61.140625" customWidth="1"/>
  </cols>
  <sheetData>
    <row r="1" spans="1:4" ht="18.75" x14ac:dyDescent="0.3">
      <c r="A1" s="87" t="s">
        <v>222</v>
      </c>
      <c r="B1" s="88"/>
      <c r="C1" s="88"/>
      <c r="D1" s="89"/>
    </row>
    <row r="2" spans="1:4" x14ac:dyDescent="0.25">
      <c r="A2" s="4"/>
      <c r="B2" s="4"/>
      <c r="C2" s="4"/>
      <c r="D2" s="4"/>
    </row>
    <row r="3" spans="1:4" ht="18.75" x14ac:dyDescent="0.3">
      <c r="A3" s="10" t="s">
        <v>31</v>
      </c>
      <c r="B3" s="64"/>
      <c r="C3" s="5"/>
      <c r="D3" s="5"/>
    </row>
    <row r="4" spans="1:4" x14ac:dyDescent="0.25">
      <c r="A4" s="4"/>
      <c r="B4" s="7">
        <v>8760</v>
      </c>
      <c r="C4" s="4" t="s">
        <v>52</v>
      </c>
      <c r="D4" s="4" t="s">
        <v>28</v>
      </c>
    </row>
    <row r="5" spans="1:4" x14ac:dyDescent="0.25">
      <c r="A5" s="4"/>
      <c r="B5" s="7">
        <v>12</v>
      </c>
      <c r="C5" s="4" t="s">
        <v>51</v>
      </c>
      <c r="D5" s="4" t="s">
        <v>60</v>
      </c>
    </row>
    <row r="6" spans="1:4" x14ac:dyDescent="0.25">
      <c r="A6" s="4"/>
      <c r="B6" s="7">
        <v>52</v>
      </c>
      <c r="C6" s="4" t="s">
        <v>59</v>
      </c>
      <c r="D6" s="4" t="s">
        <v>61</v>
      </c>
    </row>
    <row r="7" spans="1:4" x14ac:dyDescent="0.25">
      <c r="A7" s="4"/>
      <c r="B7" s="7">
        <v>365</v>
      </c>
      <c r="C7" s="4" t="s">
        <v>111</v>
      </c>
      <c r="D7" s="4" t="s">
        <v>112</v>
      </c>
    </row>
    <row r="8" spans="1:4" x14ac:dyDescent="0.25">
      <c r="A8" s="4"/>
      <c r="B8" s="7">
        <v>1000</v>
      </c>
      <c r="C8" s="4" t="s">
        <v>113</v>
      </c>
      <c r="D8" s="4" t="s">
        <v>114</v>
      </c>
    </row>
    <row r="9" spans="1:4" x14ac:dyDescent="0.25">
      <c r="A9" s="4"/>
      <c r="B9" s="7">
        <v>24</v>
      </c>
      <c r="C9" s="4" t="s">
        <v>232</v>
      </c>
      <c r="D9" s="4"/>
    </row>
    <row r="10" spans="1:4" x14ac:dyDescent="0.25">
      <c r="A10" s="4"/>
      <c r="B10" s="4"/>
      <c r="C10" s="4"/>
      <c r="D10" s="4"/>
    </row>
    <row r="11" spans="1:4" ht="18.75" x14ac:dyDescent="0.3">
      <c r="A11" s="10" t="s">
        <v>217</v>
      </c>
      <c r="B11" s="84" t="s">
        <v>218</v>
      </c>
      <c r="C11" s="85"/>
      <c r="D11" s="86"/>
    </row>
    <row r="12" spans="1:4" x14ac:dyDescent="0.25">
      <c r="A12" s="4"/>
      <c r="B12" s="6">
        <v>90</v>
      </c>
      <c r="C12" s="4" t="s">
        <v>56</v>
      </c>
      <c r="D12" s="4" t="s">
        <v>55</v>
      </c>
    </row>
    <row r="13" spans="1:4" x14ac:dyDescent="0.25">
      <c r="A13" s="4"/>
      <c r="B13" s="7">
        <v>1.02</v>
      </c>
      <c r="C13" s="4" t="s">
        <v>57</v>
      </c>
      <c r="D13" s="4" t="s">
        <v>58</v>
      </c>
    </row>
    <row r="14" spans="1:4" x14ac:dyDescent="0.25">
      <c r="A14" s="4"/>
      <c r="B14" s="13">
        <v>3000</v>
      </c>
      <c r="C14" s="12" t="s">
        <v>32</v>
      </c>
      <c r="D14" s="12" t="s">
        <v>33</v>
      </c>
    </row>
    <row r="15" spans="1:4" x14ac:dyDescent="0.25">
      <c r="A15" s="4"/>
      <c r="B15" s="13">
        <v>5000</v>
      </c>
      <c r="C15" s="12" t="s">
        <v>34</v>
      </c>
      <c r="D15" s="12" t="s">
        <v>37</v>
      </c>
    </row>
    <row r="16" spans="1:4" x14ac:dyDescent="0.25">
      <c r="A16" s="4"/>
      <c r="B16" s="13">
        <v>8000</v>
      </c>
      <c r="C16" s="12" t="s">
        <v>35</v>
      </c>
      <c r="D16" s="12" t="s">
        <v>36</v>
      </c>
    </row>
    <row r="17" spans="1:4" x14ac:dyDescent="0.25">
      <c r="A17" s="4"/>
      <c r="B17" s="7"/>
      <c r="C17" s="4"/>
      <c r="D17" s="4"/>
    </row>
    <row r="18" spans="1:4" x14ac:dyDescent="0.25">
      <c r="A18" s="4"/>
      <c r="B18" s="14">
        <v>1.03</v>
      </c>
      <c r="C18" s="12" t="s">
        <v>93</v>
      </c>
      <c r="D18" s="12" t="s">
        <v>47</v>
      </c>
    </row>
    <row r="19" spans="1:4" x14ac:dyDescent="0.25">
      <c r="A19" s="4"/>
      <c r="B19" s="13">
        <v>0.13</v>
      </c>
      <c r="C19" s="12" t="s">
        <v>42</v>
      </c>
      <c r="D19" s="12" t="s">
        <v>43</v>
      </c>
    </row>
    <row r="20" spans="1:4" x14ac:dyDescent="0.25">
      <c r="A20" s="4"/>
      <c r="B20" s="14">
        <v>1.02</v>
      </c>
      <c r="C20" s="12" t="s">
        <v>44</v>
      </c>
      <c r="D20" s="12" t="s">
        <v>45</v>
      </c>
    </row>
    <row r="21" spans="1:4" x14ac:dyDescent="0.25">
      <c r="A21" s="4"/>
      <c r="B21" s="7"/>
      <c r="C21" s="4"/>
      <c r="D21" s="4"/>
    </row>
    <row r="22" spans="1:4" x14ac:dyDescent="0.25">
      <c r="A22" s="4"/>
      <c r="B22" s="7">
        <v>10</v>
      </c>
      <c r="C22" s="4" t="s">
        <v>29</v>
      </c>
      <c r="D22" s="4" t="s">
        <v>30</v>
      </c>
    </row>
    <row r="23" spans="1:4" x14ac:dyDescent="0.25">
      <c r="A23" s="4"/>
      <c r="B23" s="7">
        <v>70</v>
      </c>
      <c r="C23" s="4" t="s">
        <v>62</v>
      </c>
      <c r="D23" s="4" t="s">
        <v>63</v>
      </c>
    </row>
    <row r="24" spans="1:4" x14ac:dyDescent="0.25">
      <c r="A24" s="4"/>
      <c r="B24" s="7"/>
      <c r="C24" s="4"/>
      <c r="D24" s="4"/>
    </row>
    <row r="25" spans="1:4" x14ac:dyDescent="0.25">
      <c r="A25" s="4"/>
      <c r="B25" s="7"/>
      <c r="C25" s="4"/>
      <c r="D25" s="4"/>
    </row>
    <row r="26" spans="1:4" x14ac:dyDescent="0.25">
      <c r="A26" s="4"/>
      <c r="B26" s="7"/>
      <c r="C26" s="4"/>
      <c r="D26" s="4"/>
    </row>
    <row r="27" spans="1:4" x14ac:dyDescent="0.25">
      <c r="A27" s="4"/>
      <c r="B27" s="7"/>
      <c r="C27" s="4"/>
      <c r="D27" s="4"/>
    </row>
  </sheetData>
  <mergeCells count="2">
    <mergeCell ref="B11:D1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5"/>
  <sheetViews>
    <sheetView topLeftCell="A23" zoomScaleNormal="100" workbookViewId="0">
      <selection activeCell="B54" sqref="B54"/>
    </sheetView>
  </sheetViews>
  <sheetFormatPr defaultColWidth="8.85546875" defaultRowHeight="15" x14ac:dyDescent="0.25"/>
  <cols>
    <col min="1" max="2" width="14.7109375" customWidth="1"/>
    <col min="3" max="3" width="36.28515625" customWidth="1"/>
    <col min="4" max="4" width="65.42578125" customWidth="1"/>
  </cols>
  <sheetData>
    <row r="1" spans="1:4" ht="18.75" x14ac:dyDescent="0.3">
      <c r="A1" s="90" t="s">
        <v>219</v>
      </c>
      <c r="B1" s="90"/>
      <c r="C1" s="91"/>
      <c r="D1" s="91"/>
    </row>
    <row r="2" spans="1:4" ht="18.75" x14ac:dyDescent="0.3">
      <c r="A2" s="3" t="s">
        <v>1</v>
      </c>
      <c r="B2" s="3"/>
      <c r="C2" s="5"/>
      <c r="D2" s="5"/>
    </row>
    <row r="3" spans="1:4" x14ac:dyDescent="0.25">
      <c r="A3" s="5"/>
      <c r="B3" s="5" t="s">
        <v>25</v>
      </c>
      <c r="C3" s="5" t="s">
        <v>27</v>
      </c>
      <c r="D3" s="5" t="s">
        <v>26</v>
      </c>
    </row>
    <row r="4" spans="1:4" ht="9" customHeight="1" x14ac:dyDescent="0.25">
      <c r="A4" s="7"/>
      <c r="B4" s="7"/>
      <c r="C4" s="12"/>
      <c r="D4" s="12"/>
    </row>
    <row r="5" spans="1:4" x14ac:dyDescent="0.25">
      <c r="A5" s="7"/>
      <c r="B5" s="11">
        <v>15000</v>
      </c>
      <c r="C5" s="12" t="s">
        <v>146</v>
      </c>
      <c r="D5" s="12" t="s">
        <v>262</v>
      </c>
    </row>
    <row r="6" spans="1:4" x14ac:dyDescent="0.25">
      <c r="A6" s="7"/>
      <c r="B6" s="11">
        <v>4000</v>
      </c>
      <c r="C6" s="12" t="s">
        <v>38</v>
      </c>
      <c r="D6" s="12" t="s">
        <v>261</v>
      </c>
    </row>
    <row r="7" spans="1:4" x14ac:dyDescent="0.25">
      <c r="A7" s="7"/>
      <c r="B7" s="11">
        <v>100</v>
      </c>
      <c r="C7" s="12" t="s">
        <v>147</v>
      </c>
      <c r="D7" s="12" t="s">
        <v>260</v>
      </c>
    </row>
    <row r="8" spans="1:4" x14ac:dyDescent="0.25">
      <c r="A8" s="7"/>
      <c r="B8" s="11">
        <v>700</v>
      </c>
      <c r="C8" s="12" t="s">
        <v>152</v>
      </c>
      <c r="D8" s="12" t="s">
        <v>223</v>
      </c>
    </row>
    <row r="9" spans="1:4" x14ac:dyDescent="0.25">
      <c r="A9" s="7"/>
      <c r="B9" s="11">
        <v>200</v>
      </c>
      <c r="C9" s="12" t="s">
        <v>153</v>
      </c>
      <c r="D9" s="12" t="s">
        <v>224</v>
      </c>
    </row>
    <row r="10" spans="1:4" ht="8.25" customHeight="1" x14ac:dyDescent="0.25">
      <c r="A10" s="7"/>
      <c r="B10" s="7"/>
      <c r="C10" s="12"/>
      <c r="D10" s="12"/>
    </row>
    <row r="11" spans="1:4" x14ac:dyDescent="0.25">
      <c r="A11" s="7"/>
      <c r="B11" s="11">
        <v>3600</v>
      </c>
      <c r="C11" s="12" t="s">
        <v>154</v>
      </c>
      <c r="D11" s="12" t="s">
        <v>257</v>
      </c>
    </row>
    <row r="12" spans="1:4" x14ac:dyDescent="0.25">
      <c r="A12" s="7"/>
      <c r="B12" s="11">
        <v>4200</v>
      </c>
      <c r="C12" s="12" t="s">
        <v>39</v>
      </c>
      <c r="D12" s="12" t="s">
        <v>258</v>
      </c>
    </row>
    <row r="13" spans="1:4" x14ac:dyDescent="0.25">
      <c r="A13" s="7"/>
      <c r="B13" s="11">
        <v>2800</v>
      </c>
      <c r="C13" s="12" t="s">
        <v>155</v>
      </c>
      <c r="D13" s="12" t="s">
        <v>259</v>
      </c>
    </row>
    <row r="14" spans="1:4" x14ac:dyDescent="0.25">
      <c r="A14" s="7"/>
      <c r="B14" s="11">
        <v>3800</v>
      </c>
      <c r="C14" s="12" t="s">
        <v>156</v>
      </c>
      <c r="D14" s="12" t="s">
        <v>178</v>
      </c>
    </row>
    <row r="15" spans="1:4" x14ac:dyDescent="0.25">
      <c r="A15" s="7"/>
      <c r="B15" s="11">
        <v>3300</v>
      </c>
      <c r="C15" s="12" t="s">
        <v>157</v>
      </c>
      <c r="D15" s="12" t="s">
        <v>179</v>
      </c>
    </row>
    <row r="16" spans="1:4" ht="9" customHeight="1" x14ac:dyDescent="0.25">
      <c r="A16" s="7"/>
      <c r="B16" s="7"/>
      <c r="C16" s="12"/>
      <c r="D16" s="12"/>
    </row>
    <row r="17" spans="1:4" x14ac:dyDescent="0.25">
      <c r="A17" s="7"/>
      <c r="B17" s="11">
        <v>0.17</v>
      </c>
      <c r="C17" s="12" t="s">
        <v>158</v>
      </c>
      <c r="D17" s="12" t="s">
        <v>256</v>
      </c>
    </row>
    <row r="18" spans="1:4" x14ac:dyDescent="0.25">
      <c r="A18" s="7"/>
      <c r="B18" s="11">
        <v>0.14000000000000001</v>
      </c>
      <c r="C18" s="12" t="s">
        <v>40</v>
      </c>
      <c r="D18" s="12" t="s">
        <v>255</v>
      </c>
    </row>
    <row r="19" spans="1:4" x14ac:dyDescent="0.25">
      <c r="A19" s="7"/>
      <c r="B19" s="11">
        <v>0.02</v>
      </c>
      <c r="C19" s="12" t="s">
        <v>159</v>
      </c>
      <c r="D19" s="12" t="s">
        <v>254</v>
      </c>
    </row>
    <row r="20" spans="1:4" x14ac:dyDescent="0.25">
      <c r="A20" s="7"/>
      <c r="B20" s="11">
        <v>0.01</v>
      </c>
      <c r="C20" s="12" t="s">
        <v>160</v>
      </c>
      <c r="D20" s="12" t="s">
        <v>180</v>
      </c>
    </row>
    <row r="21" spans="1:4" x14ac:dyDescent="0.25">
      <c r="A21" s="7"/>
      <c r="B21" s="11">
        <v>0.01</v>
      </c>
      <c r="C21" s="12" t="s">
        <v>161</v>
      </c>
      <c r="D21" s="12" t="s">
        <v>181</v>
      </c>
    </row>
    <row r="22" spans="1:4" ht="9.75" customHeight="1" x14ac:dyDescent="0.25">
      <c r="A22" s="7"/>
      <c r="B22" s="11"/>
      <c r="C22" s="12"/>
      <c r="D22" s="12"/>
    </row>
    <row r="23" spans="1:4" x14ac:dyDescent="0.25">
      <c r="A23" s="7"/>
      <c r="B23" s="13">
        <v>1100</v>
      </c>
      <c r="C23" s="12" t="s">
        <v>162</v>
      </c>
      <c r="D23" s="12" t="s">
        <v>253</v>
      </c>
    </row>
    <row r="24" spans="1:4" x14ac:dyDescent="0.25">
      <c r="A24" s="7"/>
      <c r="B24" s="13">
        <v>1450</v>
      </c>
      <c r="C24" s="12" t="s">
        <v>41</v>
      </c>
      <c r="D24" s="12" t="s">
        <v>252</v>
      </c>
    </row>
    <row r="25" spans="1:4" x14ac:dyDescent="0.25">
      <c r="A25" s="7"/>
      <c r="B25" s="13">
        <v>500</v>
      </c>
      <c r="C25" s="12" t="s">
        <v>163</v>
      </c>
      <c r="D25" s="12" t="s">
        <v>251</v>
      </c>
    </row>
    <row r="26" spans="1:4" x14ac:dyDescent="0.25">
      <c r="A26" s="7"/>
      <c r="B26" s="13">
        <v>110</v>
      </c>
      <c r="C26" s="12" t="s">
        <v>164</v>
      </c>
      <c r="D26" s="12" t="s">
        <v>233</v>
      </c>
    </row>
    <row r="27" spans="1:4" x14ac:dyDescent="0.25">
      <c r="A27" s="7"/>
      <c r="B27" s="13">
        <v>100</v>
      </c>
      <c r="C27" s="12" t="s">
        <v>165</v>
      </c>
      <c r="D27" s="12" t="s">
        <v>234</v>
      </c>
    </row>
    <row r="28" spans="1:4" ht="8.1" customHeight="1" x14ac:dyDescent="0.25">
      <c r="A28" s="7"/>
      <c r="B28" s="13"/>
      <c r="C28" s="12"/>
      <c r="D28" s="12"/>
    </row>
    <row r="29" spans="1:4" x14ac:dyDescent="0.25">
      <c r="A29" s="7"/>
      <c r="B29" s="14">
        <v>150</v>
      </c>
      <c r="C29" s="12" t="s">
        <v>225</v>
      </c>
      <c r="D29" s="12" t="s">
        <v>235</v>
      </c>
    </row>
    <row r="30" spans="1:4" x14ac:dyDescent="0.25">
      <c r="A30" s="7"/>
      <c r="B30" s="14">
        <v>40</v>
      </c>
      <c r="C30" s="12" t="s">
        <v>226</v>
      </c>
      <c r="D30" s="12" t="s">
        <v>248</v>
      </c>
    </row>
    <row r="31" spans="1:4" x14ac:dyDescent="0.25">
      <c r="A31" s="7"/>
      <c r="B31" s="14">
        <v>1</v>
      </c>
      <c r="C31" s="12" t="s">
        <v>227</v>
      </c>
      <c r="D31" s="12" t="s">
        <v>236</v>
      </c>
    </row>
    <row r="32" spans="1:4" x14ac:dyDescent="0.25">
      <c r="A32" s="7"/>
      <c r="B32" s="14">
        <v>7</v>
      </c>
      <c r="C32" s="12" t="s">
        <v>228</v>
      </c>
      <c r="D32" s="12" t="s">
        <v>249</v>
      </c>
    </row>
    <row r="33" spans="1:4" x14ac:dyDescent="0.25">
      <c r="A33" s="7"/>
      <c r="B33" s="14">
        <v>2</v>
      </c>
      <c r="C33" s="12" t="s">
        <v>229</v>
      </c>
      <c r="D33" s="12" t="s">
        <v>250</v>
      </c>
    </row>
    <row r="34" spans="1:4" x14ac:dyDescent="0.25">
      <c r="A34" s="4"/>
      <c r="B34" s="11"/>
      <c r="C34" s="12"/>
      <c r="D34" s="12"/>
    </row>
    <row r="35" spans="1:4" ht="18.75" x14ac:dyDescent="0.3">
      <c r="A35" s="9" t="s">
        <v>3</v>
      </c>
      <c r="B35" s="31"/>
      <c r="C35" s="5"/>
      <c r="D35" s="5"/>
    </row>
    <row r="36" spans="1:4" ht="17.100000000000001" customHeight="1" x14ac:dyDescent="0.3">
      <c r="A36" s="9"/>
      <c r="B36" s="5" t="s">
        <v>25</v>
      </c>
      <c r="C36" s="5" t="s">
        <v>27</v>
      </c>
      <c r="D36" s="5" t="s">
        <v>26</v>
      </c>
    </row>
    <row r="37" spans="1:4" x14ac:dyDescent="0.25">
      <c r="A37" s="4"/>
      <c r="B37" s="8">
        <v>3</v>
      </c>
      <c r="C37" s="4" t="s">
        <v>166</v>
      </c>
      <c r="D37" s="4" t="s">
        <v>237</v>
      </c>
    </row>
    <row r="38" spans="1:4" x14ac:dyDescent="0.25">
      <c r="A38" s="4"/>
      <c r="B38" s="8">
        <v>5</v>
      </c>
      <c r="C38" s="4" t="s">
        <v>54</v>
      </c>
      <c r="D38" s="4" t="s">
        <v>238</v>
      </c>
    </row>
    <row r="39" spans="1:4" x14ac:dyDescent="0.25">
      <c r="A39" s="4"/>
      <c r="B39" s="8">
        <v>1</v>
      </c>
      <c r="C39" s="4" t="s">
        <v>167</v>
      </c>
      <c r="D39" s="4" t="s">
        <v>239</v>
      </c>
    </row>
    <row r="40" spans="1:4" x14ac:dyDescent="0.25">
      <c r="A40" s="4"/>
      <c r="B40" s="8">
        <v>1</v>
      </c>
      <c r="C40" s="4" t="s">
        <v>168</v>
      </c>
      <c r="D40" s="4" t="s">
        <v>182</v>
      </c>
    </row>
    <row r="41" spans="1:4" x14ac:dyDescent="0.25">
      <c r="A41" s="4"/>
      <c r="B41" s="8">
        <v>0.5</v>
      </c>
      <c r="C41" s="4" t="s">
        <v>169</v>
      </c>
      <c r="D41" s="4" t="s">
        <v>183</v>
      </c>
    </row>
    <row r="42" spans="1:4" x14ac:dyDescent="0.25">
      <c r="A42" s="4"/>
      <c r="B42" s="8"/>
      <c r="C42" s="4"/>
      <c r="D42" s="4"/>
    </row>
    <row r="43" spans="1:4" x14ac:dyDescent="0.25">
      <c r="A43" s="4"/>
      <c r="B43" s="8">
        <v>0.75</v>
      </c>
      <c r="C43" s="4" t="s">
        <v>170</v>
      </c>
      <c r="D43" s="4" t="s">
        <v>240</v>
      </c>
    </row>
    <row r="44" spans="1:4" x14ac:dyDescent="0.25">
      <c r="A44" s="4"/>
      <c r="B44" s="8">
        <v>1.25</v>
      </c>
      <c r="C44" s="4" t="s">
        <v>64</v>
      </c>
      <c r="D44" s="4" t="s">
        <v>241</v>
      </c>
    </row>
    <row r="45" spans="1:4" x14ac:dyDescent="0.25">
      <c r="A45" s="4"/>
      <c r="B45" s="8">
        <v>2.25</v>
      </c>
      <c r="C45" s="4" t="s">
        <v>171</v>
      </c>
      <c r="D45" s="4" t="s">
        <v>242</v>
      </c>
    </row>
    <row r="46" spans="1:4" x14ac:dyDescent="0.25">
      <c r="A46" s="4"/>
      <c r="B46" s="8">
        <v>1.5</v>
      </c>
      <c r="C46" s="4" t="s">
        <v>172</v>
      </c>
      <c r="D46" s="4" t="s">
        <v>184</v>
      </c>
    </row>
    <row r="47" spans="1:4" x14ac:dyDescent="0.25">
      <c r="A47" s="4"/>
      <c r="B47" s="8">
        <v>2.5</v>
      </c>
      <c r="C47" s="4" t="s">
        <v>173</v>
      </c>
      <c r="D47" s="4" t="s">
        <v>185</v>
      </c>
    </row>
    <row r="48" spans="1:4" x14ac:dyDescent="0.25">
      <c r="A48" s="4"/>
      <c r="B48" s="6"/>
      <c r="C48" s="4"/>
      <c r="D48" s="4"/>
    </row>
    <row r="49" spans="1:4" x14ac:dyDescent="0.25">
      <c r="A49" s="4"/>
      <c r="B49" s="8">
        <v>365</v>
      </c>
      <c r="C49" s="4" t="s">
        <v>174</v>
      </c>
      <c r="D49" s="4" t="s">
        <v>243</v>
      </c>
    </row>
    <row r="50" spans="1:4" x14ac:dyDescent="0.25">
      <c r="A50" s="4"/>
      <c r="B50" s="8">
        <v>365</v>
      </c>
      <c r="C50" s="4" t="s">
        <v>65</v>
      </c>
      <c r="D50" s="4" t="s">
        <v>244</v>
      </c>
    </row>
    <row r="51" spans="1:4" x14ac:dyDescent="0.25">
      <c r="A51" s="4"/>
      <c r="B51" s="8">
        <v>52</v>
      </c>
      <c r="C51" s="4" t="s">
        <v>175</v>
      </c>
      <c r="D51" s="4" t="s">
        <v>245</v>
      </c>
    </row>
    <row r="52" spans="1:4" x14ac:dyDescent="0.25">
      <c r="A52" s="4"/>
      <c r="B52" s="8">
        <v>26</v>
      </c>
      <c r="C52" s="4" t="s">
        <v>176</v>
      </c>
      <c r="D52" s="4" t="s">
        <v>246</v>
      </c>
    </row>
    <row r="53" spans="1:4" x14ac:dyDescent="0.25">
      <c r="A53" s="4"/>
      <c r="B53" s="8">
        <v>26</v>
      </c>
      <c r="C53" s="4" t="s">
        <v>177</v>
      </c>
      <c r="D53" s="4" t="s">
        <v>247</v>
      </c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61" spans="1:4" x14ac:dyDescent="0.25">
      <c r="D61">
        <f>numA</f>
        <v>0</v>
      </c>
    </row>
    <row r="65" customFormat="1" x14ac:dyDescent="0.25"/>
  </sheetData>
  <mergeCells count="1">
    <mergeCell ref="A1:D1"/>
  </mergeCells>
  <printOptions gridLines="1"/>
  <pageMargins left="0.35" right="0.27" top="0.75" bottom="0.75" header="0.4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8"/>
  <sheetViews>
    <sheetView topLeftCell="A12" zoomScale="85" zoomScaleNormal="85" workbookViewId="0">
      <selection activeCell="B48" sqref="B48"/>
    </sheetView>
  </sheetViews>
  <sheetFormatPr defaultColWidth="8.85546875" defaultRowHeight="15" x14ac:dyDescent="0.25"/>
  <cols>
    <col min="1" max="1" width="38" customWidth="1"/>
    <col min="2" max="2" width="16.42578125" bestFit="1" customWidth="1"/>
    <col min="3" max="3" width="15" customWidth="1"/>
    <col min="4" max="6" width="15" bestFit="1" customWidth="1"/>
    <col min="7" max="7" width="17.42578125" customWidth="1"/>
    <col min="8" max="9" width="13.85546875" bestFit="1" customWidth="1"/>
  </cols>
  <sheetData>
    <row r="1" spans="1:8" ht="21" x14ac:dyDescent="0.35">
      <c r="A1" s="109" t="s">
        <v>220</v>
      </c>
      <c r="B1" s="109"/>
      <c r="C1" s="109"/>
      <c r="D1" s="109"/>
      <c r="E1" s="109"/>
      <c r="F1" s="109"/>
      <c r="G1" s="36"/>
    </row>
    <row r="2" spans="1:8" x14ac:dyDescent="0.25">
      <c r="A2" s="26" t="s">
        <v>0</v>
      </c>
      <c r="B2" s="92" t="s">
        <v>5</v>
      </c>
      <c r="C2" s="93"/>
      <c r="D2" s="93"/>
      <c r="E2" s="93"/>
      <c r="F2" s="94"/>
      <c r="G2" s="95" t="s">
        <v>135</v>
      </c>
    </row>
    <row r="3" spans="1:8" x14ac:dyDescent="0.25">
      <c r="A3" s="23"/>
      <c r="B3" s="26" t="s">
        <v>6</v>
      </c>
      <c r="C3" s="26" t="s">
        <v>7</v>
      </c>
      <c r="D3" s="26" t="s">
        <v>8</v>
      </c>
      <c r="E3" s="26" t="s">
        <v>9</v>
      </c>
      <c r="F3" s="26" t="s">
        <v>10</v>
      </c>
      <c r="G3" s="96"/>
    </row>
    <row r="4" spans="1:8" ht="18.75" x14ac:dyDescent="0.3">
      <c r="A4" s="50" t="s">
        <v>1</v>
      </c>
      <c r="B4" s="15"/>
      <c r="C4" s="15"/>
      <c r="D4" s="15"/>
      <c r="E4" s="15"/>
      <c r="F4" s="15"/>
      <c r="G4" s="15"/>
    </row>
    <row r="5" spans="1:8" x14ac:dyDescent="0.25">
      <c r="A5" s="27" t="s">
        <v>148</v>
      </c>
      <c r="B5" s="70">
        <f>serverPowerGroup1*serverLoadGroup1/wattsInAKilowatt*hoursInARealDay*numServersGroup1*costkwHYear1*daysInAYear</f>
        <v>10454184</v>
      </c>
      <c r="C5" s="70">
        <f>serverPowerGroup1*serverLoadGroup1/wattsInAKilowatt*hoursInARealDay*numServersGroup1*costkwHYear1*daysInAYear*powerRateIncrease</f>
        <v>10663267.68</v>
      </c>
      <c r="D5" s="70">
        <f>serverPowerGroup1*serverLoadGroup1/wattsInAKilowatt*hoursInARealDay*numServersGroup1*costkwHYear1*daysInAYear*powerRateIncrease*powerRateIncrease</f>
        <v>10876533.033600001</v>
      </c>
      <c r="E5" s="70">
        <f>serverPowerGroup1*serverLoadGroup1/wattsInAKilowatt*hoursInARealDay*numServersGroup1*costkwHYear1*daysInAYear*powerRateIncrease*powerRateIncrease*powerRateIncrease</f>
        <v>11094063.694272</v>
      </c>
      <c r="F5" s="70">
        <f>serverPowerGroup1*serverLoadGroup1/wattsInAKilowatt*hoursInARealDay*numServersGroup1*costkwHYear1*daysInAYear*powerRateIncrease*powerRateIncrease*powerRateIncrease*powerRateIncrease</f>
        <v>11315944.96815744</v>
      </c>
      <c r="G5" s="71">
        <f>SUM(B5:F5)</f>
        <v>54403993.376029447</v>
      </c>
      <c r="H5" s="30"/>
    </row>
    <row r="6" spans="1:8" x14ac:dyDescent="0.25">
      <c r="A6" s="27" t="s">
        <v>46</v>
      </c>
      <c r="B6" s="70">
        <f>serverPowerGroup2*serverLoadGroup2/wattsInAKilowatt*hoursInARealDay*numServersGroup2*costkwHYear1*daysInAYear</f>
        <v>2678457.5999999996</v>
      </c>
      <c r="C6" s="70">
        <f>serverPowerGroup2*serverLoadGroup2/wattsInAKilowatt*hoursInARealDay*numServersGroup2*costkwHYear1*daysInAYear*powerRateIncrease</f>
        <v>2732026.7519999999</v>
      </c>
      <c r="D6" s="70">
        <f>serverPowerGroup2*serverLoadGroup2/wattsInAKilowatt*hoursInARealDay*numServersGroup2*costkwHYear1*daysInAYear*powerRateIncrease*powerRateIncrease</f>
        <v>2786667.2870399999</v>
      </c>
      <c r="E6" s="70">
        <f>serverPowerGroup2*serverLoadGroup2/wattsInAKilowatt*hoursInARealDay*numServersGroup2*costkwHYear1*daysInAYear*powerRateIncrease*powerRateIncrease*powerRateIncrease</f>
        <v>2842400.6327808001</v>
      </c>
      <c r="F6" s="70">
        <f>serverPowerGroup2*serverLoadGroup2/wattsInAKilowatt*hoursInARealDay*numServersGroup2*costkwHYear1*daysInAYear*powerRateIncrease*powerRateIncrease*powerRateIncrease*powerRateIncrease</f>
        <v>2899248.6454364164</v>
      </c>
      <c r="G6" s="71">
        <f>SUM(B6:F6)</f>
        <v>13938800.917257216</v>
      </c>
    </row>
    <row r="7" spans="1:8" x14ac:dyDescent="0.25">
      <c r="A7" s="27" t="s">
        <v>149</v>
      </c>
      <c r="B7" s="70">
        <f>serverPowerGroup3*serverLoadGroup3/wattsInAKilowatt*hoursInARealDay*numServersGroup3*costkwHYear1*daysInAYear</f>
        <v>6377.2800000000007</v>
      </c>
      <c r="C7" s="70">
        <f>serverPowerGroup3*serverLoadGroup3/wattsInAKilowatt*hoursInARealDay*numServersGroup3*costkwHYear1*daysInAYear*powerRateIncrease</f>
        <v>6504.825600000001</v>
      </c>
      <c r="D7" s="70">
        <f>serverPowerGroup3*serverLoadGroup3/wattsInAKilowatt*hoursInARealDay*numServersGroup3*costkwHYear1*daysInAYear*powerRateIncrease*powerRateIncrease</f>
        <v>6634.9221120000011</v>
      </c>
      <c r="E7" s="70">
        <f>serverPowerGroup3*serverLoadGroup3/wattsInAKilowatt*hoursInARealDay*numServersGroup3*costkwHYear1*daysInAYear*powerRateIncrease*powerRateIncrease*powerRateIncrease</f>
        <v>6767.6205542400012</v>
      </c>
      <c r="F7" s="70">
        <f>serverPowerGroup3*serverLoadGroup3/wattsInAKilowatt*hoursInARealDay*numServersGroup3*costkwHYear1*daysInAYear*powerRateIncrease*powerRateIncrease*powerRateIncrease*powerRateIncrease</f>
        <v>6902.9729653248014</v>
      </c>
      <c r="G7" s="71">
        <f>SUM(B7:F7)</f>
        <v>33187.621231564808</v>
      </c>
    </row>
    <row r="8" spans="1:8" x14ac:dyDescent="0.25">
      <c r="A8" s="27" t="s">
        <v>186</v>
      </c>
      <c r="B8" s="70">
        <f>serverPowerGroup4A*serverLoadGroup4A/wattsInAKilowatt*hoursInARealDay*numServersGroup4A*costkwHYear1*daysInAYear</f>
        <v>30292.080000000002</v>
      </c>
      <c r="C8" s="70">
        <f>serverPowerGroup4A*serverLoadGroup4A/wattsInAKilowatt*hoursInARealDay*numServersGroup4A*costkwHYear1*daysInAYear*powerRateIncrease</f>
        <v>30897.921600000001</v>
      </c>
      <c r="D8" s="70">
        <f>serverPowerGroup4A*serverLoadGroup4A/wattsInAKilowatt*hoursInARealDay*numServersGroup4A*costkwHYear1*daysInAYear*powerRateIncrease*powerRateIncrease</f>
        <v>31515.880032000001</v>
      </c>
      <c r="E8" s="70">
        <f>serverPowerGroup4A*serverLoadGroup4A/wattsInAKilowatt*hoursInARealDay*numServersGroup4A*costkwHYear1*daysInAYear*powerRateIncrease*powerRateIncrease*powerRateIncrease</f>
        <v>32146.19763264</v>
      </c>
      <c r="F8" s="70">
        <f>serverPowerGroup4A*serverLoadGroup4A/wattsInAKilowatt*hoursInARealDay*numServersGroup4A*costkwHYear1*daysInAYear*powerRateIncrease*powerRateIncrease*powerRateIncrease*powerRateIncrease</f>
        <v>32789.1215852928</v>
      </c>
      <c r="G8" s="71">
        <f>SUM(B8:F8)</f>
        <v>157641.20084993279</v>
      </c>
    </row>
    <row r="9" spans="1:8" x14ac:dyDescent="0.25">
      <c r="A9" s="27" t="s">
        <v>187</v>
      </c>
      <c r="B9" s="70">
        <f>serverPowerGroup4B*serverLoadGroup4B/wattsInAKilowatt*hoursInARealDay*numServersGroup4B*costkwHYear1*daysInAYear</f>
        <v>7516.0800000000008</v>
      </c>
      <c r="C9" s="70">
        <f>serverPowerGroup4B*serverLoadGroup4B/wattsInAKilowatt*hoursInARealDay*numServersGroup4B*costkwHYear1*daysInAYear*powerRateIncrease</f>
        <v>7666.4016000000011</v>
      </c>
      <c r="D9" s="70">
        <f>serverPowerGroup4B*serverLoadGroup4B/wattsInAKilowatt*hoursInARealDay*numServersGroup4B*costkwHYear1*daysInAYear*powerRateIncrease*powerRateIncrease</f>
        <v>7819.7296320000014</v>
      </c>
      <c r="E9" s="70">
        <f>serverPowerGroup4B*serverLoadGroup4B/wattsInAKilowatt*hoursInARealDay*numServersGroup4B*costkwHYear1*daysInAYear*powerRateIncrease*powerRateIncrease*powerRateIncrease</f>
        <v>7976.1242246400016</v>
      </c>
      <c r="F9" s="70">
        <f>serverPowerGroup4B*serverLoadGroup4B/wattsInAKilowatt*hoursInARealDay*numServersGroup4B*costkwHYear1*daysInAYear*powerRateIncrease*powerRateIncrease*powerRateIncrease*powerRateIncrease</f>
        <v>8135.6467091328013</v>
      </c>
      <c r="G9" s="71">
        <f>SUM(B9:F9)</f>
        <v>39113.98216577281</v>
      </c>
    </row>
    <row r="10" spans="1:8" x14ac:dyDescent="0.25">
      <c r="A10" s="35" t="s">
        <v>133</v>
      </c>
      <c r="B10" s="72">
        <f t="shared" ref="B10:G10" si="0">SUM(B5:B9)</f>
        <v>13176827.039999999</v>
      </c>
      <c r="C10" s="72">
        <f t="shared" si="0"/>
        <v>13440363.580800001</v>
      </c>
      <c r="D10" s="72">
        <f t="shared" si="0"/>
        <v>13709170.852415999</v>
      </c>
      <c r="E10" s="72">
        <f t="shared" si="0"/>
        <v>13983354.269464321</v>
      </c>
      <c r="F10" s="72">
        <f t="shared" si="0"/>
        <v>14263021.354853608</v>
      </c>
      <c r="G10" s="73">
        <f t="shared" si="0"/>
        <v>68572737.097533941</v>
      </c>
      <c r="H10" s="60"/>
    </row>
    <row r="11" spans="1:8" ht="14.25" customHeight="1" x14ac:dyDescent="0.25">
      <c r="A11" s="92"/>
      <c r="B11" s="93"/>
      <c r="C11" s="93"/>
      <c r="D11" s="93"/>
      <c r="E11" s="93"/>
      <c r="F11" s="94"/>
      <c r="G11" s="23"/>
    </row>
    <row r="12" spans="1:8" x14ac:dyDescent="0.25">
      <c r="A12" s="27" t="s">
        <v>150</v>
      </c>
      <c r="B12" s="70">
        <f>maintenanceCostYear1Group1*costUnitsGroup1</f>
        <v>165000</v>
      </c>
      <c r="C12" s="70">
        <f>maintenanceCostYear1Group1*costUnitsGroup1*serverMaintenanceRateIncrease</f>
        <v>169950</v>
      </c>
      <c r="D12" s="70">
        <f>maintenanceCostYear1Group1*costUnitsGroup1*serverMaintenanceRateIncrease*serverMaintenanceRateIncrease</f>
        <v>175048.5</v>
      </c>
      <c r="E12" s="70">
        <f>maintenanceCostYear1Group1*costUnitsGroup1*serverMaintenanceRateIncrease*serverMaintenanceRateIncrease*serverMaintenanceRateIncrease</f>
        <v>180299.95500000002</v>
      </c>
      <c r="F12" s="70">
        <f>maintenanceCostYear1Group1*costUnitsGroup1*serverMaintenanceRateIncrease*serverMaintenanceRateIncrease*serverMaintenanceRateIncrease*serverMaintenanceRateIncrease</f>
        <v>185708.95365000001</v>
      </c>
      <c r="G12" s="71">
        <f>SUM(B12:F12)</f>
        <v>876007.40865000011</v>
      </c>
    </row>
    <row r="13" spans="1:8" x14ac:dyDescent="0.25">
      <c r="A13" s="27" t="s">
        <v>48</v>
      </c>
      <c r="B13" s="70">
        <f>maintenanceCostYear1Group2*costUnitsGroup2</f>
        <v>58000</v>
      </c>
      <c r="C13" s="70">
        <f>maintenanceCostYear1Group2*costUnitsGroup2*serverMaintenanceRateIncrease</f>
        <v>59740</v>
      </c>
      <c r="D13" s="70">
        <f>maintenanceCostYear1Group2*costUnitsGroup2*serverMaintenanceRateIncrease*serverMaintenanceRateIncrease</f>
        <v>61532.200000000004</v>
      </c>
      <c r="E13" s="70">
        <f>maintenanceCostYear1Group2*costUnitsGroup2*serverMaintenanceRateIncrease*serverMaintenanceRateIncrease*serverMaintenanceRateIncrease</f>
        <v>63378.166000000005</v>
      </c>
      <c r="F13" s="70">
        <f>maintenanceCostYear1Group2*costUnitsGroup2*serverMaintenanceRateIncrease*serverMaintenanceRateIncrease*serverMaintenanceRateIncrease*serverMaintenanceRateIncrease</f>
        <v>65279.510980000006</v>
      </c>
      <c r="G13" s="71">
        <f>SUM(B13:F13)</f>
        <v>307929.87698</v>
      </c>
      <c r="H13" s="30"/>
    </row>
    <row r="14" spans="1:8" x14ac:dyDescent="0.25">
      <c r="A14" s="27" t="s">
        <v>151</v>
      </c>
      <c r="B14" s="70">
        <f>maintenanceCostYear1Group3*costUnitsGroup3</f>
        <v>500</v>
      </c>
      <c r="C14" s="70">
        <f>maintenanceCostYear1Group3*costUnitsGroup3*serverMaintenanceRateIncrease</f>
        <v>515</v>
      </c>
      <c r="D14" s="70">
        <f>maintenanceCostYear1Group3*costUnitsGroup3*serverMaintenanceRateIncrease*serverMaintenanceRateIncrease</f>
        <v>530.45000000000005</v>
      </c>
      <c r="E14" s="70">
        <f>maintenanceCostYear1Group3*costUnitsGroup3*serverMaintenanceRateIncrease*serverMaintenanceRateIncrease*serverMaintenanceRateIncrease</f>
        <v>546.36350000000004</v>
      </c>
      <c r="F14" s="70">
        <f>maintenanceCostYear1Group3*costUnitsGroup3*serverMaintenanceRateIncrease*serverMaintenanceRateIncrease*serverMaintenanceRateIncrease*serverMaintenanceRateIncrease</f>
        <v>562.75440500000002</v>
      </c>
      <c r="G14" s="71">
        <f>SUM(B14:F14)</f>
        <v>2654.5679050000003</v>
      </c>
    </row>
    <row r="15" spans="1:8" x14ac:dyDescent="0.25">
      <c r="A15" s="27" t="s">
        <v>188</v>
      </c>
      <c r="B15" s="70">
        <f>maintenanceCostYear1Group4A*costUnitsGroup4A</f>
        <v>770</v>
      </c>
      <c r="C15" s="70">
        <f>maintenanceCostYear1Group4A*costUnitsGroup4A*serverMaintenanceRateIncrease</f>
        <v>793.1</v>
      </c>
      <c r="D15" s="70">
        <f>maintenanceCostYear1Group4A*costUnitsGroup4A*serverMaintenanceRateIncrease*serverMaintenanceRateIncrease</f>
        <v>816.89300000000003</v>
      </c>
      <c r="E15" s="70">
        <f>maintenanceCostYear1Group4A*costUnitsGroup4A*serverMaintenanceRateIncrease*serverMaintenanceRateIncrease*serverMaintenanceRateIncrease</f>
        <v>841.39979000000005</v>
      </c>
      <c r="F15" s="70">
        <f>maintenanceCostYear1Group4A*costUnitsGroup4A*serverMaintenanceRateIncrease*serverMaintenanceRateIncrease*serverMaintenanceRateIncrease*serverMaintenanceRateIncrease</f>
        <v>866.64178370000013</v>
      </c>
      <c r="G15" s="71">
        <f>SUM(B15:F15)</f>
        <v>4088.0345736999998</v>
      </c>
    </row>
    <row r="16" spans="1:8" x14ac:dyDescent="0.25">
      <c r="A16" s="27" t="s">
        <v>189</v>
      </c>
      <c r="B16" s="70">
        <f>maintenanceCostYear1Group4B*costUnitsGroup4B</f>
        <v>200</v>
      </c>
      <c r="C16" s="70">
        <f>maintenanceCostYear1Group4B*costUnitsGroup4B*serverMaintenanceRateIncrease</f>
        <v>206</v>
      </c>
      <c r="D16" s="70">
        <f>maintenanceCostYear1Group4B*costUnitsGroup4B*serverMaintenanceRateIncrease*serverMaintenanceRateIncrease</f>
        <v>212.18</v>
      </c>
      <c r="E16" s="70">
        <f>maintenanceCostYear1Group4B*costUnitsGroup4B*serverMaintenanceRateIncrease*serverMaintenanceRateIncrease*serverMaintenanceRateIncrease</f>
        <v>218.5454</v>
      </c>
      <c r="F16" s="70">
        <f>maintenanceCostYear1Group4B*costUnitsGroup4B*serverMaintenanceRateIncrease*serverMaintenanceRateIncrease*serverMaintenanceRateIncrease*serverMaintenanceRateIncrease</f>
        <v>225.10176200000001</v>
      </c>
      <c r="G16" s="71">
        <f>SUM(B16:F16)</f>
        <v>1061.827162</v>
      </c>
    </row>
    <row r="17" spans="1:9" x14ac:dyDescent="0.25">
      <c r="A17" s="35" t="s">
        <v>134</v>
      </c>
      <c r="B17" s="72">
        <f t="shared" ref="B17:G17" si="1">SUM(B12:B16)</f>
        <v>224470</v>
      </c>
      <c r="C17" s="72">
        <f t="shared" si="1"/>
        <v>231204.1</v>
      </c>
      <c r="D17" s="72">
        <f t="shared" si="1"/>
        <v>238140.22300000003</v>
      </c>
      <c r="E17" s="72">
        <f t="shared" si="1"/>
        <v>245284.42969000002</v>
      </c>
      <c r="F17" s="72">
        <f t="shared" si="1"/>
        <v>252642.96258070003</v>
      </c>
      <c r="G17" s="73">
        <f t="shared" si="1"/>
        <v>1191741.7152706999</v>
      </c>
    </row>
    <row r="18" spans="1:9" ht="15.75" customHeight="1" x14ac:dyDescent="0.25">
      <c r="A18" s="92"/>
      <c r="B18" s="93"/>
      <c r="C18" s="93"/>
      <c r="D18" s="93"/>
      <c r="E18" s="93"/>
      <c r="F18" s="94"/>
      <c r="G18" s="23"/>
    </row>
    <row r="19" spans="1:9" x14ac:dyDescent="0.25">
      <c r="A19" s="27" t="s">
        <v>49</v>
      </c>
      <c r="B19" s="70">
        <f>securityFirmMonthlyCharge*monthsInAYear</f>
        <v>36000</v>
      </c>
      <c r="C19" s="70">
        <f>securityFirmMonthlyCharge*monthsInAYear</f>
        <v>36000</v>
      </c>
      <c r="D19" s="70">
        <f>securityFirmMonthlyCharge*monthsInAYear</f>
        <v>36000</v>
      </c>
      <c r="E19" s="70">
        <f>securityFirmMonthlyCharge*monthsInAYear</f>
        <v>36000</v>
      </c>
      <c r="F19" s="70">
        <f>securityFirmMonthlyCharge*monthsInAYear</f>
        <v>36000</v>
      </c>
      <c r="G19" s="71">
        <f>SUM(B19:F19)</f>
        <v>180000</v>
      </c>
    </row>
    <row r="20" spans="1:9" x14ac:dyDescent="0.25">
      <c r="A20" s="27" t="s">
        <v>50</v>
      </c>
      <c r="B20" s="70">
        <f>dataStorageMonthlyChargeYears1And2*monthsInAYear</f>
        <v>60000</v>
      </c>
      <c r="C20" s="70">
        <f>dataStorageMonthlyChargeYears1And2*monthsInAYear</f>
        <v>60000</v>
      </c>
      <c r="D20" s="70">
        <f>dataStorageMonthlyChargeYears3Thru5*monthsInAYear</f>
        <v>96000</v>
      </c>
      <c r="E20" s="70">
        <f>dataStorageMonthlyChargeYears3Thru5*monthsInAYear</f>
        <v>96000</v>
      </c>
      <c r="F20" s="70">
        <f>dataStorageMonthlyChargeYears3Thru5*monthsInAYear</f>
        <v>96000</v>
      </c>
      <c r="G20" s="71">
        <f>SUM(B20:F20)</f>
        <v>408000</v>
      </c>
    </row>
    <row r="21" spans="1:9" ht="15.75" customHeight="1" x14ac:dyDescent="0.25">
      <c r="A21" s="92"/>
      <c r="B21" s="93"/>
      <c r="C21" s="93"/>
      <c r="D21" s="93"/>
      <c r="E21" s="93"/>
      <c r="F21" s="94"/>
      <c r="G21" s="71">
        <f>SUM(G19:G20)</f>
        <v>588000</v>
      </c>
    </row>
    <row r="22" spans="1:9" x14ac:dyDescent="0.25">
      <c r="A22" s="44" t="s">
        <v>2</v>
      </c>
      <c r="B22" s="72">
        <f>subtotalForPowerYear1+subtotalForServerMaintenanceYear1+B19+B20</f>
        <v>13497297.039999999</v>
      </c>
      <c r="C22" s="72">
        <f>subtotalForPowerYear2+subtotalForServerMaintenanceYear2+C19+C20</f>
        <v>13767567.6808</v>
      </c>
      <c r="D22" s="72">
        <f>subtotalForPowerYear3+subtotalForServerMaintenanceYear3+D19+D20</f>
        <v>14079311.075415999</v>
      </c>
      <c r="E22" s="72">
        <f>subtotalForPowerYear4+subtotalForServerMaintenanceYear4+E19+E20</f>
        <v>14360638.699154321</v>
      </c>
      <c r="F22" s="72">
        <f>subtotalForPowerYear5+subtotalForServerMaintenanceYear5+F19+F20</f>
        <v>14647664.317434307</v>
      </c>
      <c r="G22" s="73">
        <f>totalPowerCost5Years+totalServerMaintenanceCost5Years+totalSecurityAndArchivalCost5Years</f>
        <v>70352478.812804639</v>
      </c>
      <c r="I22" s="30"/>
    </row>
    <row r="23" spans="1:9" ht="14.25" customHeight="1" x14ac:dyDescent="0.25">
      <c r="A23" s="32"/>
      <c r="B23" s="33"/>
      <c r="C23" s="33"/>
      <c r="D23" s="33"/>
      <c r="E23" s="33"/>
      <c r="F23" s="33"/>
      <c r="G23" s="26"/>
    </row>
    <row r="24" spans="1:9" x14ac:dyDescent="0.25">
      <c r="A24" s="34" t="s">
        <v>11</v>
      </c>
      <c r="B24" s="73">
        <f>totalHardCostsCurrent</f>
        <v>70352478.812804639</v>
      </c>
      <c r="C24" s="45"/>
      <c r="D24" s="46"/>
      <c r="E24" s="46"/>
      <c r="F24" s="47"/>
      <c r="G24" s="23"/>
    </row>
    <row r="25" spans="1:9" x14ac:dyDescent="0.25">
      <c r="A25" s="92"/>
      <c r="B25" s="93"/>
      <c r="C25" s="93"/>
      <c r="D25" s="93"/>
      <c r="E25" s="93"/>
      <c r="F25" s="94"/>
      <c r="G25" s="23"/>
    </row>
    <row r="26" spans="1:9" ht="18.75" x14ac:dyDescent="0.3">
      <c r="A26" s="50" t="s">
        <v>3</v>
      </c>
      <c r="B26" s="15"/>
      <c r="C26" s="15"/>
      <c r="D26" s="15"/>
      <c r="E26" s="15"/>
      <c r="F26" s="15"/>
      <c r="G26" s="15"/>
    </row>
    <row r="27" spans="1:9" x14ac:dyDescent="0.25">
      <c r="A27" s="27" t="s">
        <v>190</v>
      </c>
      <c r="B27" s="74">
        <f>weeksAdministrativeTimeGroup1*hoursInAWeek*administrativeCostPerHourYear1*numServersGroup1</f>
        <v>283500000</v>
      </c>
      <c r="C27" s="74">
        <f>weeksAdministrativeTimeGroup1*hoursInAWeek*administrativeCostPerHourYear1*numServersGroup1*administrativeRateIncrease</f>
        <v>289170000</v>
      </c>
      <c r="D27" s="74">
        <f>weeksAdministrativeTimeGroup1*hoursInAWeek*administrativeCostPerHourYear1*numServersGroup1*administrativeRateIncrease*administrativeRateIncrease</f>
        <v>294953400</v>
      </c>
      <c r="E27" s="74">
        <f>weeksAdministrativeTimeGroup1*hoursInAWeek*administrativeCostPerHourYear1*numServersGroup1*administrativeRateIncrease*administrativeRateIncrease*administrativeRateIncrease</f>
        <v>300852468</v>
      </c>
      <c r="F27" s="74">
        <f>weeksAdministrativeTimeGroup1*hoursInAWeek*administrativeCostPerHourYear1*numServersGroup1*administrativeRateIncrease*administrativeRateIncrease*administrativeRateIncrease*administrativeRateIncrease</f>
        <v>306869517.36000001</v>
      </c>
      <c r="G27" s="71">
        <f>SUM(B27:F27)</f>
        <v>1475345385.3600001</v>
      </c>
    </row>
    <row r="28" spans="1:9" x14ac:dyDescent="0.25">
      <c r="A28" s="27" t="s">
        <v>53</v>
      </c>
      <c r="B28" s="74">
        <f>weeksAdministrativeTimeGroup2*hoursInAWeek*administrativeCostPerHourYear1*numServersGroup2</f>
        <v>126000000</v>
      </c>
      <c r="C28" s="74">
        <f>weeksAdministrativeTimeGroup2*hoursInAWeek*administrativeCostPerHourYear1*numServersGroup2*administrativeRateIncrease</f>
        <v>128520000</v>
      </c>
      <c r="D28" s="74">
        <f>weeksAdministrativeTimeGroup2*hoursInAWeek*administrativeCostPerHourYear1*numServersGroup2*administrativeRateIncrease*administrativeRateIncrease</f>
        <v>131090400</v>
      </c>
      <c r="E28" s="74">
        <f>weeksAdministrativeTimeGroup2*hoursInAWeek*administrativeCostPerHourYear1*numServersGroup2*administrativeRateIncrease*administrativeRateIncrease*administrativeRateIncrease</f>
        <v>133712208</v>
      </c>
      <c r="F28" s="74">
        <f>weeksAdministrativeTimeGroup2*hoursInAWeek*administrativeCostPerHourYear1*numServersGroup2*administrativeRateIncrease*administrativeRateIncrease*administrativeRateIncrease*administrativeRateIncrease</f>
        <v>136386452.16</v>
      </c>
      <c r="G28" s="71">
        <f>SUM(B28:F28)</f>
        <v>655709060.15999997</v>
      </c>
    </row>
    <row r="29" spans="1:9" x14ac:dyDescent="0.25">
      <c r="A29" s="27" t="s">
        <v>191</v>
      </c>
      <c r="B29" s="74">
        <f>weeksAdministrativeTimeGroup3*hoursInAWeek*administrativeCostPerHourYear1*numServersGroup3</f>
        <v>630000</v>
      </c>
      <c r="C29" s="74">
        <f>weeksAdministrativeTimeGroup3*hoursInAWeek*administrativeCostPerHourYear1*numServersGroup3*administrativeRateIncrease</f>
        <v>642600</v>
      </c>
      <c r="D29" s="74">
        <f>weeksAdministrativeTimeGroup3*hoursInAWeek*administrativeCostPerHourYear1*numServersGroup3*administrativeRateIncrease*administrativeRateIncrease</f>
        <v>655452</v>
      </c>
      <c r="E29" s="74">
        <f>weeksAdministrativeTimeGroup3*hoursInAWeek*administrativeCostPerHourYear1*numServersGroup3*administrativeRateIncrease*administrativeRateIncrease*administrativeRateIncrease</f>
        <v>668561.04</v>
      </c>
      <c r="F29" s="74">
        <f>weeksAdministrativeTimeGroup3*hoursInAWeek*administrativeCostPerHourYear1*numServersGroup3*administrativeRateIncrease*administrativeRateIncrease*administrativeRateIncrease*administrativeRateIncrease</f>
        <v>681932.26080000005</v>
      </c>
      <c r="G29" s="71">
        <f>SUM(B29:F29)</f>
        <v>3278545.3008000003</v>
      </c>
    </row>
    <row r="30" spans="1:9" x14ac:dyDescent="0.25">
      <c r="A30" s="27" t="s">
        <v>192</v>
      </c>
      <c r="B30" s="74">
        <f>weeksAdministrativeTImeGroup4A*hoursInAWeek*administrativeCostPerHourYear1*numServersGroup4A</f>
        <v>4410000</v>
      </c>
      <c r="C30" s="74">
        <f>weeksAdministrativeTImeGroup4A*hoursInAWeek*administrativeCostPerHourYear1*numServersGroup4A*administrativeRateIncrease</f>
        <v>4498200</v>
      </c>
      <c r="D30" s="74">
        <f>weeksAdministrativeTImeGroup4A*hoursInAWeek*administrativeCostPerHourYear1*numServersGroup4A*administrativeRateIncrease*administrativeRateIncrease</f>
        <v>4588164</v>
      </c>
      <c r="E30" s="74">
        <f>weeksAdministrativeTImeGroup4A*hoursInAWeek*administrativeCostPerHourYear1*numServersGroup4A*administrativeRateIncrease*administrativeRateIncrease*administrativeRateIncrease</f>
        <v>4679927.28</v>
      </c>
      <c r="F30" s="74">
        <f>weeksAdministrativeTImeGroup4A*hoursInAWeek*administrativeCostPerHourYear1*numServersGroup4A*administrativeRateIncrease*administrativeRateIncrease*administrativeRateIncrease*administrativeRateIncrease</f>
        <v>4773525.8256000001</v>
      </c>
      <c r="G30" s="71">
        <f>SUM(B30:F30)</f>
        <v>22949817.105599999</v>
      </c>
    </row>
    <row r="31" spans="1:9" x14ac:dyDescent="0.25">
      <c r="A31" s="27" t="s">
        <v>193</v>
      </c>
      <c r="B31" s="74">
        <f>weeksAdministrativeTImeGroup4B*hoursInAWeek*administrativeCostPerHourYear1*numServersGroup4B</f>
        <v>630000</v>
      </c>
      <c r="C31" s="74">
        <f>weeksAdministrativeTImeGroup4B*hoursInAWeek*administrativeCostPerHourYear1*numServersGroup4B*administrativeRateIncrease</f>
        <v>642600</v>
      </c>
      <c r="D31" s="74">
        <f>weeksAdministrativeTImeGroup4B*hoursInAWeek*administrativeCostPerHourYear1*numServersGroup4B*administrativeRateIncrease*administrativeRateIncrease</f>
        <v>655452</v>
      </c>
      <c r="E31" s="74">
        <f>weeksAdministrativeTImeGroup4B*hoursInAWeek*administrativeCostPerHourYear1*numServersGroup4B*administrativeRateIncrease*administrativeRateIncrease*administrativeRateIncrease</f>
        <v>668561.04</v>
      </c>
      <c r="F31" s="74">
        <f>weeksAdministrativeTImeGroup4B*hoursInAWeek*administrativeCostPerHourYear1*numServersGroup4B*administrativeRateIncrease*administrativeRateIncrease*administrativeRateIncrease*administrativeRateIncrease</f>
        <v>681932.26080000005</v>
      </c>
      <c r="G31" s="71">
        <f>SUM(B31:F31)</f>
        <v>3278545.3008000003</v>
      </c>
    </row>
    <row r="32" spans="1:9" x14ac:dyDescent="0.25">
      <c r="A32" s="42" t="s">
        <v>136</v>
      </c>
      <c r="B32" s="75">
        <f t="shared" ref="B32:G32" si="2">SUM(B27:B31)</f>
        <v>415170000</v>
      </c>
      <c r="C32" s="75">
        <f t="shared" si="2"/>
        <v>423473400</v>
      </c>
      <c r="D32" s="75">
        <f t="shared" si="2"/>
        <v>431942868</v>
      </c>
      <c r="E32" s="75">
        <f t="shared" si="2"/>
        <v>440581725.36000001</v>
      </c>
      <c r="F32" s="75">
        <f t="shared" si="2"/>
        <v>449393359.86720002</v>
      </c>
      <c r="G32" s="73">
        <f t="shared" si="2"/>
        <v>2160561353.2272</v>
      </c>
      <c r="H32" s="30"/>
      <c r="I32" s="30"/>
    </row>
    <row r="33" spans="1:9" ht="9.75" customHeight="1" x14ac:dyDescent="0.25">
      <c r="A33" s="97"/>
      <c r="B33" s="98"/>
      <c r="C33" s="98"/>
      <c r="D33" s="98"/>
      <c r="E33" s="98"/>
      <c r="F33" s="98"/>
      <c r="G33" s="99"/>
    </row>
    <row r="34" spans="1:9" ht="0.75" customHeight="1" x14ac:dyDescent="0.25">
      <c r="A34" s="100"/>
      <c r="B34" s="101"/>
      <c r="C34" s="101"/>
      <c r="D34" s="101"/>
      <c r="E34" s="101"/>
      <c r="F34" s="101"/>
      <c r="G34" s="102"/>
    </row>
    <row r="35" spans="1:9" x14ac:dyDescent="0.25">
      <c r="A35" s="27" t="s">
        <v>194</v>
      </c>
      <c r="B35" s="74">
        <f>hoursPerBackupGroup1*administrativeCostPerHourYear1*numberOfBackupsPerYearGroup1*costUnitsGroup1</f>
        <v>3695625</v>
      </c>
      <c r="C35" s="74">
        <f>hoursPerBackupGroup1*administrativeCostPerHourYear1*numberOfBackupsPerYearGroup1*costUnitsGroup1*administrativeRateIncrease</f>
        <v>3769537.5</v>
      </c>
      <c r="D35" s="74">
        <f>hoursPerBackupGroup1*administrativeCostPerHourYear1*numberOfBackupsPerYearGroup1*costUnitsGroup1*administrativeRateIncrease*administrativeRateIncrease</f>
        <v>3844928.25</v>
      </c>
      <c r="E35" s="74">
        <f>hoursPerBackupGroup1*administrativeCostPerHourYear1*numberOfBackupsPerYearGroup1*costUnitsGroup1*administrativeRateIncrease*administrativeRateIncrease*administrativeRateIncrease</f>
        <v>3921826.8149999999</v>
      </c>
      <c r="F35" s="74">
        <f>hoursPerBackupGroup1*administrativeCostPerHourYear1*numberOfBackupsPerYearGroup1*costUnitsGroup1*administrativeRateIncrease*administrativeRateIncrease*administrativeRateIncrease*administrativeRateIncrease</f>
        <v>4000263.3513000002</v>
      </c>
      <c r="G35" s="71">
        <f>SUM(B35:F35)</f>
        <v>19232180.916299999</v>
      </c>
    </row>
    <row r="36" spans="1:9" x14ac:dyDescent="0.25">
      <c r="A36" s="27" t="s">
        <v>263</v>
      </c>
      <c r="B36" s="74">
        <f>hoursPerBackupGroup2*administrativeCostPerHourYear1*numberOfBackupsPerYearGroup2*costUnitsGroup2</f>
        <v>1642500</v>
      </c>
      <c r="C36" s="74">
        <f>hoursPerBackupGroup2*administrativeCostPerHourYear1*numberOfBackupsPerYearGroup2*costUnitsGroup2*administrativeRateIncrease</f>
        <v>1675350</v>
      </c>
      <c r="D36" s="74">
        <f>hoursPerBackupGroup2*administrativeCostPerHourYear1*numberOfBackupsPerYearGroup2*costUnitsGroup2*administrativeRateIncrease*administrativeRateIncrease</f>
        <v>1708857</v>
      </c>
      <c r="E36" s="74">
        <f>hoursPerBackupGroup2*administrativeCostPerHourYear1*numberOfBackupsPerYearGroup2*costUnitsGroup2*administrativeRateIncrease*administrativeRateIncrease*administrativeRateIncrease</f>
        <v>1743034.1400000001</v>
      </c>
      <c r="F36" s="74">
        <f>hoursPerBackupGroup2*administrativeCostPerHourYear1*numberOfBackupsPerYearGroup2*costUnitsGroup2*administrativeRateIncrease*administrativeRateIncrease*administrativeRateIncrease*administrativeRateIncrease</f>
        <v>1777894.8228000002</v>
      </c>
      <c r="G36" s="71">
        <f>SUM(B36:F36)</f>
        <v>8547635.9627999999</v>
      </c>
    </row>
    <row r="37" spans="1:9" x14ac:dyDescent="0.25">
      <c r="A37" s="27" t="s">
        <v>195</v>
      </c>
      <c r="B37" s="74">
        <f>hoursPerBackupGroup3*administrativeCostPerHourYear1*numberOfBackupsPerYearGroup3*costUnitsGroup3</f>
        <v>10530</v>
      </c>
      <c r="C37" s="74">
        <f>hoursPerBackupGroup3*administrativeCostPerHourYear1*numberOfBackupsPerYearGroup3*costUnitsGroup3*administrativeRateIncrease</f>
        <v>10740.6</v>
      </c>
      <c r="D37" s="74">
        <f>hoursPerBackupGroup3*administrativeCostPerHourYear1*numberOfBackupsPerYearGroup3*costUnitsGroup3*administrativeRateIncrease*administrativeRateIncrease</f>
        <v>10955.412</v>
      </c>
      <c r="E37" s="74">
        <f>hoursPerBackupGroup3*administrativeCostPerHourYear1*numberOfBackupsPerYearGroup3*costUnitsGroup3*administrativeRateIncrease*administrativeRateIncrease*administrativeRateIncrease</f>
        <v>11174.52024</v>
      </c>
      <c r="F37" s="74">
        <f>hoursPerBackupGroup3*administrativeCostPerHourYear1*numberOfBackupsPerYearGroup3*costUnitsGroup3*administrativeRateIncrease*administrativeRateIncrease*administrativeRateIncrease*administrativeRateIncrease</f>
        <v>11398.010644800001</v>
      </c>
      <c r="G37" s="71">
        <f>SUM(B37:F37)</f>
        <v>54798.542884800001</v>
      </c>
    </row>
    <row r="38" spans="1:9" x14ac:dyDescent="0.25">
      <c r="A38" s="27" t="s">
        <v>196</v>
      </c>
      <c r="B38" s="74">
        <f>hoursPerBackupGroup4A*administrativeCostPerHourYear1*numberOfBackupsPerYearGroup4A*costUnitsGroup4A</f>
        <v>24570</v>
      </c>
      <c r="C38" s="74">
        <f>hoursPerBackupGroup4A*administrativeCostPerHourYear1*numberOfBackupsPerYearGroup4A*costUnitsGroup4A*administrativeRateIncrease</f>
        <v>25061.4</v>
      </c>
      <c r="D38" s="74">
        <f>hoursPerBackupGroup4A*administrativeCostPerHourYear1*numberOfBackupsPerYearGroup4A*costUnitsGroup4A*administrativeRateIncrease*administrativeRateIncrease</f>
        <v>25562.628000000001</v>
      </c>
      <c r="E38" s="74">
        <f>hoursPerBackupGroup4A*administrativeCostPerHourYear1*numberOfBackupsPerYearGroup4A*costUnitsGroup4A*administrativeRateIncrease*administrativeRateIncrease*administrativeRateIncrease</f>
        <v>26073.880560000001</v>
      </c>
      <c r="F38" s="74">
        <f>hoursPerBackupGroup4A*administrativeCostPerHourYear1*numberOfBackupsPerYearGroup4A*costUnitsGroup4A*administrativeRateIncrease*administrativeRateIncrease*administrativeRateIncrease*administrativeRateIncrease</f>
        <v>26595.358171200001</v>
      </c>
      <c r="G38" s="71">
        <f>SUM(B38:F38)</f>
        <v>127863.26673120001</v>
      </c>
    </row>
    <row r="39" spans="1:9" x14ac:dyDescent="0.25">
      <c r="A39" s="27" t="s">
        <v>197</v>
      </c>
      <c r="B39" s="74">
        <f>hoursPerBackupGroup4B*administrativeCostPerHourYear1*numberOfBackupsPerYearGroup4B*costUnitsGroup4B</f>
        <v>11700</v>
      </c>
      <c r="C39" s="74">
        <f>hoursPerBackupGroup4B*administrativeCostPerHourYear1*numberOfBackupsPerYearGroup4B*costUnitsGroup4B*administrativeRateIncrease</f>
        <v>11934</v>
      </c>
      <c r="D39" s="74">
        <f>hoursPerBackupGroup4B*administrativeCostPerHourYear1*numberOfBackupsPerYearGroup4B*costUnitsGroup4B*administrativeRateIncrease*administrativeRateIncrease</f>
        <v>12172.68</v>
      </c>
      <c r="E39" s="74">
        <f>hoursPerBackupGroup4B*administrativeCostPerHourYear1*numberOfBackupsPerYearGroup4B*costUnitsGroup4B*administrativeRateIncrease*administrativeRateIncrease*administrativeRateIncrease</f>
        <v>12416.133600000001</v>
      </c>
      <c r="F39" s="74">
        <f>hoursPerBackupGroup4B*administrativeCostPerHourYear1*numberOfBackupsPerYearGroup4B*costUnitsGroup4B*administrativeRateIncrease*administrativeRateIncrease*administrativeRateIncrease*administrativeRateIncrease</f>
        <v>12664.456272000001</v>
      </c>
      <c r="G39" s="71">
        <f>SUM(B39:F39)</f>
        <v>60887.269872000004</v>
      </c>
    </row>
    <row r="40" spans="1:9" x14ac:dyDescent="0.25">
      <c r="A40" s="42" t="s">
        <v>137</v>
      </c>
      <c r="B40" s="75">
        <f t="shared" ref="B40:G40" si="3">SUM(B35:B39)</f>
        <v>5384925</v>
      </c>
      <c r="C40" s="75">
        <f t="shared" si="3"/>
        <v>5492623.5</v>
      </c>
      <c r="D40" s="75">
        <f t="shared" si="3"/>
        <v>5602475.9699999988</v>
      </c>
      <c r="E40" s="75">
        <f t="shared" si="3"/>
        <v>5714525.4894000012</v>
      </c>
      <c r="F40" s="75">
        <f t="shared" si="3"/>
        <v>5828815.9991880013</v>
      </c>
      <c r="G40" s="73">
        <f t="shared" si="3"/>
        <v>28023365.958587997</v>
      </c>
      <c r="H40" s="30"/>
    </row>
    <row r="41" spans="1:9" x14ac:dyDescent="0.25">
      <c r="A41" s="92"/>
      <c r="B41" s="93"/>
      <c r="C41" s="93"/>
      <c r="D41" s="93"/>
      <c r="E41" s="93"/>
      <c r="F41" s="94"/>
      <c r="G41" s="37"/>
    </row>
    <row r="42" spans="1:9" x14ac:dyDescent="0.25">
      <c r="A42" s="44" t="s">
        <v>4</v>
      </c>
      <c r="B42" s="76">
        <f>subtotalForTotalAdministrationCostYear1+subtotalForServerMaintenanceYear1</f>
        <v>415394470</v>
      </c>
      <c r="C42" s="76">
        <f>subtotalForTotalAdministrationCostYear2+subtotalForServerMaintenanceYear2</f>
        <v>423704604.10000002</v>
      </c>
      <c r="D42" s="76">
        <f>subtotalForTotalAdministrationCostYear3+subtotalForServerMaintenanceYear3</f>
        <v>432181008.22299999</v>
      </c>
      <c r="E42" s="76">
        <f>subtotalForTotalAdministrationCostYear4+subtotalForServerMaintenanceYear4</f>
        <v>440827009.78969002</v>
      </c>
      <c r="F42" s="76">
        <f>subtotalForTotalAdministrationCostYear5+subtotalForServerMaintenanceYear5</f>
        <v>449646002.8297807</v>
      </c>
      <c r="G42" s="73">
        <f>totalServerAdministrationCost5Years+totalServerBackupCost5Years</f>
        <v>2188584719.1857882</v>
      </c>
      <c r="I42" s="30"/>
    </row>
    <row r="43" spans="1:9" x14ac:dyDescent="0.25">
      <c r="A43" s="48"/>
      <c r="B43" s="40"/>
      <c r="C43" s="40"/>
      <c r="D43" s="40"/>
      <c r="E43" s="40"/>
      <c r="F43" s="41"/>
      <c r="G43" s="38"/>
    </row>
    <row r="44" spans="1:9" x14ac:dyDescent="0.25">
      <c r="A44" s="49" t="s">
        <v>12</v>
      </c>
      <c r="B44" s="73">
        <f>totalSoftCostsCurrent</f>
        <v>2188584719.1857882</v>
      </c>
      <c r="C44" s="40"/>
      <c r="D44" s="40"/>
      <c r="E44" s="40"/>
      <c r="F44" s="41"/>
      <c r="G44" s="38"/>
    </row>
    <row r="45" spans="1:9" x14ac:dyDescent="0.25">
      <c r="A45" s="92"/>
      <c r="B45" s="93"/>
      <c r="C45" s="93"/>
      <c r="D45" s="93"/>
      <c r="E45" s="93"/>
      <c r="F45" s="94"/>
      <c r="G45" s="37"/>
    </row>
    <row r="46" spans="1:9" x14ac:dyDescent="0.25">
      <c r="A46" s="35" t="s">
        <v>138</v>
      </c>
      <c r="B46" s="76">
        <f>totalYearlyHardCostYear1+totalYearlySoftCostsYear1</f>
        <v>428891767.04000002</v>
      </c>
      <c r="C46" s="76">
        <f>totalYearlyHardCostYear2+totalYearlySoftCostsYear2</f>
        <v>437472171.78080004</v>
      </c>
      <c r="D46" s="76">
        <f>totalYearlyHardCostYear3+totalYearlySoftCostsYear3</f>
        <v>446260319.29841602</v>
      </c>
      <c r="E46" s="76">
        <f>totalYearlyHardCostYear4+totalYearlySoftCostsYear4</f>
        <v>455187648.48884434</v>
      </c>
      <c r="F46" s="76">
        <f>totalYearlyHardCostYear5+totalYearlySoftCostsYear5</f>
        <v>464293667.14721501</v>
      </c>
      <c r="G46" s="77">
        <f>SUM(B46:F46)</f>
        <v>2232105573.7552752</v>
      </c>
    </row>
    <row r="47" spans="1:9" x14ac:dyDescent="0.25">
      <c r="A47" s="29"/>
      <c r="B47" s="28"/>
      <c r="C47" s="103"/>
      <c r="D47" s="104"/>
      <c r="E47" s="104"/>
      <c r="F47" s="104"/>
      <c r="G47" s="105"/>
    </row>
    <row r="48" spans="1:9" x14ac:dyDescent="0.25">
      <c r="A48" s="43" t="s">
        <v>145</v>
      </c>
      <c r="B48" s="77">
        <f>total5YearCurrentCost</f>
        <v>2232105573.7552752</v>
      </c>
      <c r="C48" s="106"/>
      <c r="D48" s="107"/>
      <c r="E48" s="107"/>
      <c r="F48" s="107"/>
      <c r="G48" s="108"/>
    </row>
  </sheetData>
  <mergeCells count="11">
    <mergeCell ref="A1:F1"/>
    <mergeCell ref="B2:F2"/>
    <mergeCell ref="A21:F21"/>
    <mergeCell ref="A11:F11"/>
    <mergeCell ref="A25:F25"/>
    <mergeCell ref="A41:F41"/>
    <mergeCell ref="A45:F45"/>
    <mergeCell ref="G2:G3"/>
    <mergeCell ref="A33:G34"/>
    <mergeCell ref="C47:G48"/>
    <mergeCell ref="A18:F18"/>
  </mergeCells>
  <printOptions gridLines="1"/>
  <pageMargins left="0.38" right="0.28000000000000003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8"/>
  <sheetViews>
    <sheetView topLeftCell="A23" zoomScaleNormal="100" workbookViewId="0">
      <selection activeCell="B53" sqref="B53"/>
    </sheetView>
  </sheetViews>
  <sheetFormatPr defaultColWidth="8.85546875" defaultRowHeight="15" x14ac:dyDescent="0.25"/>
  <cols>
    <col min="1" max="2" width="14.42578125" customWidth="1"/>
    <col min="3" max="3" width="41.5703125" bestFit="1" customWidth="1"/>
    <col min="4" max="4" width="81.28515625" customWidth="1"/>
  </cols>
  <sheetData>
    <row r="1" spans="1:4" ht="18.75" x14ac:dyDescent="0.3">
      <c r="A1" s="90" t="s">
        <v>221</v>
      </c>
      <c r="B1" s="91"/>
      <c r="C1" s="91"/>
      <c r="D1" s="91"/>
    </row>
    <row r="2" spans="1:4" ht="18.75" x14ac:dyDescent="0.3">
      <c r="A2" s="3" t="s">
        <v>1</v>
      </c>
      <c r="B2" s="65"/>
      <c r="C2" s="66"/>
      <c r="D2" s="66"/>
    </row>
    <row r="3" spans="1:4" x14ac:dyDescent="0.25">
      <c r="A3" s="66"/>
      <c r="B3" s="68" t="s">
        <v>25</v>
      </c>
      <c r="C3" s="69" t="s">
        <v>27</v>
      </c>
      <c r="D3" s="69" t="s">
        <v>26</v>
      </c>
    </row>
    <row r="4" spans="1:4" ht="9" customHeight="1" x14ac:dyDescent="0.25">
      <c r="A4" s="7"/>
      <c r="B4" s="11"/>
      <c r="C4" s="12"/>
      <c r="D4" s="12"/>
    </row>
    <row r="5" spans="1:4" x14ac:dyDescent="0.25">
      <c r="A5" s="4"/>
      <c r="B5" s="6">
        <v>57011.5</v>
      </c>
      <c r="C5" s="4" t="s">
        <v>76</v>
      </c>
      <c r="D5" s="4" t="s">
        <v>77</v>
      </c>
    </row>
    <row r="6" spans="1:4" x14ac:dyDescent="0.25">
      <c r="A6" s="4"/>
      <c r="B6" s="6">
        <f>costNewGroup1Server*year1ServerMaintenanceContractPercentage</f>
        <v>6841.38</v>
      </c>
      <c r="C6" s="4" t="s">
        <v>79</v>
      </c>
      <c r="D6" s="4" t="s">
        <v>78</v>
      </c>
    </row>
    <row r="7" spans="1:4" x14ac:dyDescent="0.25">
      <c r="A7" s="4"/>
      <c r="B7" s="6"/>
      <c r="C7" s="4"/>
      <c r="D7" s="4"/>
    </row>
    <row r="8" spans="1:4" x14ac:dyDescent="0.25">
      <c r="A8" s="4"/>
      <c r="B8" s="6">
        <v>57011.5</v>
      </c>
      <c r="C8" s="4" t="s">
        <v>66</v>
      </c>
      <c r="D8" s="4" t="s">
        <v>216</v>
      </c>
    </row>
    <row r="9" spans="1:4" x14ac:dyDescent="0.25">
      <c r="A9" s="4"/>
      <c r="B9" s="6">
        <f>costNewGroup2Server*year1ServerMaintenanceContractPercentage</f>
        <v>6841.38</v>
      </c>
      <c r="C9" s="4" t="s">
        <v>67</v>
      </c>
      <c r="D9" s="4" t="s">
        <v>68</v>
      </c>
    </row>
    <row r="10" spans="1:4" x14ac:dyDescent="0.25">
      <c r="A10" s="4"/>
      <c r="B10" s="6"/>
      <c r="C10" s="4"/>
      <c r="D10" s="4"/>
    </row>
    <row r="11" spans="1:4" x14ac:dyDescent="0.25">
      <c r="A11" s="4"/>
      <c r="B11" s="6">
        <v>46989.02</v>
      </c>
      <c r="C11" s="4" t="s">
        <v>80</v>
      </c>
      <c r="D11" s="4" t="s">
        <v>81</v>
      </c>
    </row>
    <row r="12" spans="1:4" x14ac:dyDescent="0.25">
      <c r="A12" s="4"/>
      <c r="B12" s="6">
        <f>costNewGroup3Server*year1ServerMaintenanceContractPercentage</f>
        <v>5638.6823999999997</v>
      </c>
      <c r="C12" s="4" t="s">
        <v>82</v>
      </c>
      <c r="D12" s="4" t="s">
        <v>83</v>
      </c>
    </row>
    <row r="13" spans="1:4" x14ac:dyDescent="0.25">
      <c r="A13" s="4"/>
      <c r="B13" s="6"/>
      <c r="C13" s="4"/>
      <c r="D13" s="4"/>
    </row>
    <row r="14" spans="1:4" x14ac:dyDescent="0.25">
      <c r="A14" s="4"/>
      <c r="B14" s="6">
        <v>46989.02</v>
      </c>
      <c r="C14" s="4" t="s">
        <v>198</v>
      </c>
      <c r="D14" s="4" t="s">
        <v>202</v>
      </c>
    </row>
    <row r="15" spans="1:4" x14ac:dyDescent="0.25">
      <c r="A15" s="4"/>
      <c r="B15" s="6">
        <f>costNewGroup4Server*year1ServerMaintenanceContractPercentage</f>
        <v>5638.6823999999997</v>
      </c>
      <c r="C15" s="4" t="s">
        <v>199</v>
      </c>
      <c r="D15" s="4" t="s">
        <v>203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63">
        <v>1500</v>
      </c>
      <c r="C17" s="4" t="s">
        <v>69</v>
      </c>
      <c r="D17" s="4" t="s">
        <v>70</v>
      </c>
    </row>
    <row r="18" spans="1:4" x14ac:dyDescent="0.25">
      <c r="A18" s="4"/>
      <c r="B18" s="63">
        <v>2500</v>
      </c>
      <c r="C18" s="4" t="s">
        <v>71</v>
      </c>
      <c r="D18" s="4" t="s">
        <v>127</v>
      </c>
    </row>
    <row r="19" spans="1:4" x14ac:dyDescent="0.25">
      <c r="A19" s="4"/>
      <c r="B19" s="63">
        <v>350</v>
      </c>
      <c r="C19" s="4" t="s">
        <v>72</v>
      </c>
      <c r="D19" s="4" t="s">
        <v>73</v>
      </c>
    </row>
    <row r="20" spans="1:4" x14ac:dyDescent="0.25">
      <c r="A20" s="4"/>
      <c r="B20" s="63">
        <v>1000</v>
      </c>
      <c r="C20" s="4" t="s">
        <v>74</v>
      </c>
      <c r="D20" s="4" t="s">
        <v>128</v>
      </c>
    </row>
    <row r="21" spans="1:4" x14ac:dyDescent="0.25">
      <c r="A21" s="4"/>
      <c r="B21" s="63">
        <v>10</v>
      </c>
      <c r="C21" s="4" t="s">
        <v>75</v>
      </c>
      <c r="D21" s="4" t="s">
        <v>84</v>
      </c>
    </row>
    <row r="22" spans="1:4" x14ac:dyDescent="0.25">
      <c r="A22" s="4"/>
      <c r="B22" s="63">
        <v>30</v>
      </c>
      <c r="C22" s="4" t="s">
        <v>85</v>
      </c>
      <c r="D22" s="4" t="s">
        <v>129</v>
      </c>
    </row>
    <row r="23" spans="1:4" x14ac:dyDescent="0.25">
      <c r="A23" s="4"/>
      <c r="B23" s="63">
        <v>100</v>
      </c>
      <c r="C23" s="4" t="s">
        <v>200</v>
      </c>
      <c r="D23" s="4" t="s">
        <v>205</v>
      </c>
    </row>
    <row r="24" spans="1:4" x14ac:dyDescent="0.25">
      <c r="A24" s="4"/>
      <c r="B24" s="63">
        <v>300</v>
      </c>
      <c r="C24" s="4" t="s">
        <v>201</v>
      </c>
      <c r="D24" s="4" t="s">
        <v>204</v>
      </c>
    </row>
    <row r="25" spans="1:4" x14ac:dyDescent="0.25">
      <c r="A25" s="4"/>
      <c r="B25" s="7"/>
      <c r="C25" s="4"/>
      <c r="D25" s="4"/>
    </row>
    <row r="26" spans="1:4" x14ac:dyDescent="0.25">
      <c r="A26" s="4"/>
      <c r="B26" s="7"/>
      <c r="C26" s="4"/>
      <c r="D26" s="4"/>
    </row>
    <row r="27" spans="1:4" x14ac:dyDescent="0.25">
      <c r="A27" s="4"/>
      <c r="B27" s="7">
        <v>1287</v>
      </c>
      <c r="C27" s="4" t="s">
        <v>86</v>
      </c>
      <c r="D27" s="4" t="s">
        <v>130</v>
      </c>
    </row>
    <row r="28" spans="1:4" x14ac:dyDescent="0.25">
      <c r="A28" s="4"/>
      <c r="B28" s="7">
        <v>1040</v>
      </c>
      <c r="C28" s="4" t="s">
        <v>87</v>
      </c>
      <c r="D28" s="4" t="s">
        <v>131</v>
      </c>
    </row>
    <row r="29" spans="1:4" x14ac:dyDescent="0.25">
      <c r="A29" s="4"/>
      <c r="B29" s="7">
        <v>790</v>
      </c>
      <c r="C29" s="4" t="s">
        <v>88</v>
      </c>
      <c r="D29" s="4" t="s">
        <v>132</v>
      </c>
    </row>
    <row r="30" spans="1:4" x14ac:dyDescent="0.25">
      <c r="A30" s="4"/>
      <c r="B30" s="7">
        <v>563</v>
      </c>
      <c r="C30" s="4" t="s">
        <v>206</v>
      </c>
      <c r="D30" s="4" t="s">
        <v>207</v>
      </c>
    </row>
    <row r="31" spans="1:4" x14ac:dyDescent="0.25">
      <c r="A31" s="4"/>
      <c r="B31" s="7"/>
      <c r="C31" s="4"/>
      <c r="D31" s="4"/>
    </row>
    <row r="32" spans="1:4" x14ac:dyDescent="0.25">
      <c r="A32" s="4"/>
      <c r="B32" s="6">
        <v>4500</v>
      </c>
      <c r="C32" s="4" t="s">
        <v>89</v>
      </c>
      <c r="D32" s="4" t="s">
        <v>90</v>
      </c>
    </row>
    <row r="33" spans="1:4" x14ac:dyDescent="0.25">
      <c r="A33" s="4"/>
      <c r="B33" s="7">
        <v>0.15</v>
      </c>
      <c r="C33" s="4" t="s">
        <v>92</v>
      </c>
      <c r="D33" s="4" t="s">
        <v>91</v>
      </c>
    </row>
    <row r="34" spans="1:4" x14ac:dyDescent="0.25">
      <c r="A34" s="4"/>
      <c r="B34" s="7"/>
      <c r="C34" s="4"/>
      <c r="D34" s="4"/>
    </row>
    <row r="35" spans="1:4" x14ac:dyDescent="0.25">
      <c r="A35" s="4"/>
      <c r="B35" s="7"/>
      <c r="C35" s="4"/>
      <c r="D35" s="4"/>
    </row>
    <row r="36" spans="1:4" x14ac:dyDescent="0.25">
      <c r="A36" s="4"/>
      <c r="B36" s="6">
        <v>5500</v>
      </c>
      <c r="C36" s="4" t="s">
        <v>94</v>
      </c>
      <c r="D36" s="4" t="s">
        <v>95</v>
      </c>
    </row>
    <row r="37" spans="1:4" x14ac:dyDescent="0.25">
      <c r="A37" s="4"/>
      <c r="B37" s="7">
        <v>4</v>
      </c>
      <c r="C37" s="4" t="s">
        <v>99</v>
      </c>
      <c r="D37" s="4" t="s">
        <v>97</v>
      </c>
    </row>
    <row r="38" spans="1:4" x14ac:dyDescent="0.25">
      <c r="A38" s="4"/>
      <c r="B38" s="7">
        <v>2</v>
      </c>
      <c r="C38" s="4" t="s">
        <v>96</v>
      </c>
      <c r="D38" s="4" t="s">
        <v>98</v>
      </c>
    </row>
    <row r="39" spans="1:4" x14ac:dyDescent="0.25">
      <c r="A39" s="4"/>
      <c r="B39" s="7"/>
      <c r="C39" s="4"/>
      <c r="D39" s="4"/>
    </row>
    <row r="40" spans="1:4" ht="18.75" x14ac:dyDescent="0.3">
      <c r="A40" s="9" t="s">
        <v>3</v>
      </c>
      <c r="B40" s="31"/>
      <c r="C40" s="66"/>
      <c r="D40" s="66"/>
    </row>
    <row r="41" spans="1:4" ht="18.75" x14ac:dyDescent="0.3">
      <c r="A41" s="9"/>
      <c r="B41" s="67" t="s">
        <v>25</v>
      </c>
      <c r="C41" s="67" t="s">
        <v>27</v>
      </c>
      <c r="D41" s="67" t="s">
        <v>26</v>
      </c>
    </row>
    <row r="42" spans="1:4" x14ac:dyDescent="0.25">
      <c r="A42" s="4"/>
      <c r="B42" s="7">
        <v>0.5</v>
      </c>
      <c r="C42" s="4" t="s">
        <v>106</v>
      </c>
      <c r="D42" s="4" t="s">
        <v>107</v>
      </c>
    </row>
    <row r="43" spans="1:4" x14ac:dyDescent="0.25">
      <c r="A43" s="4"/>
      <c r="B43" s="7">
        <v>8</v>
      </c>
      <c r="C43" s="4" t="s">
        <v>230</v>
      </c>
      <c r="D43" s="4"/>
    </row>
    <row r="44" spans="1:4" x14ac:dyDescent="0.25">
      <c r="A44" s="4"/>
      <c r="B44" s="7">
        <v>0.12</v>
      </c>
      <c r="C44" s="4" t="s">
        <v>231</v>
      </c>
      <c r="D44" s="4"/>
    </row>
    <row r="45" spans="1:4" x14ac:dyDescent="0.25">
      <c r="A45" s="4"/>
      <c r="B45" s="7"/>
      <c r="C45" s="4"/>
      <c r="D45" s="4"/>
    </row>
    <row r="46" spans="1:4" x14ac:dyDescent="0.25">
      <c r="A46" s="4"/>
      <c r="B46" s="7">
        <v>1</v>
      </c>
      <c r="C46" s="4" t="s">
        <v>119</v>
      </c>
      <c r="D46" s="4" t="s">
        <v>121</v>
      </c>
    </row>
    <row r="47" spans="1:4" x14ac:dyDescent="0.25">
      <c r="A47" s="4"/>
      <c r="B47" s="7">
        <v>1</v>
      </c>
      <c r="C47" s="4" t="s">
        <v>118</v>
      </c>
      <c r="D47" s="4" t="s">
        <v>122</v>
      </c>
    </row>
    <row r="48" spans="1:4" x14ac:dyDescent="0.25">
      <c r="A48" s="4"/>
      <c r="B48" s="7">
        <v>1</v>
      </c>
      <c r="C48" s="4" t="s">
        <v>120</v>
      </c>
      <c r="D48" s="4" t="s">
        <v>123</v>
      </c>
    </row>
    <row r="49" spans="1:4" x14ac:dyDescent="0.25">
      <c r="A49" s="4"/>
      <c r="B49" s="7">
        <v>1.5</v>
      </c>
      <c r="C49" s="4" t="s">
        <v>208</v>
      </c>
      <c r="D49" s="4" t="s">
        <v>264</v>
      </c>
    </row>
    <row r="50" spans="1:4" x14ac:dyDescent="0.25">
      <c r="A50" s="4"/>
      <c r="B50" s="7"/>
      <c r="C50" s="4"/>
      <c r="D50" s="4"/>
    </row>
    <row r="51" spans="1:4" x14ac:dyDescent="0.25">
      <c r="A51" s="4"/>
      <c r="B51" s="7">
        <v>365</v>
      </c>
      <c r="C51" s="4" t="s">
        <v>117</v>
      </c>
      <c r="D51" s="4" t="s">
        <v>124</v>
      </c>
    </row>
    <row r="52" spans="1:4" x14ac:dyDescent="0.25">
      <c r="A52" s="4"/>
      <c r="B52" s="7">
        <v>365</v>
      </c>
      <c r="C52" s="4" t="s">
        <v>116</v>
      </c>
      <c r="D52" s="4" t="s">
        <v>125</v>
      </c>
    </row>
    <row r="53" spans="1:4" x14ac:dyDescent="0.25">
      <c r="A53" s="4"/>
      <c r="B53" s="7">
        <v>365</v>
      </c>
      <c r="C53" s="4" t="s">
        <v>115</v>
      </c>
      <c r="D53" s="4" t="s">
        <v>126</v>
      </c>
    </row>
    <row r="54" spans="1:4" x14ac:dyDescent="0.25">
      <c r="A54" s="4"/>
      <c r="B54" s="7">
        <v>52</v>
      </c>
      <c r="C54" s="4" t="s">
        <v>209</v>
      </c>
      <c r="D54" s="4" t="s">
        <v>210</v>
      </c>
    </row>
    <row r="55" spans="1:4" x14ac:dyDescent="0.25">
      <c r="A55" s="4"/>
      <c r="B55" s="4"/>
      <c r="C55" s="4"/>
      <c r="D55" s="4"/>
    </row>
    <row r="64" spans="1:4" x14ac:dyDescent="0.25">
      <c r="D64" s="1"/>
    </row>
    <row r="65" spans="2:2" x14ac:dyDescent="0.25">
      <c r="B65" s="1"/>
    </row>
    <row r="66" spans="2:2" x14ac:dyDescent="0.25">
      <c r="B66" s="1"/>
    </row>
    <row r="68" spans="2:2" x14ac:dyDescent="0.25">
      <c r="B68" s="1"/>
    </row>
  </sheetData>
  <mergeCells count="1">
    <mergeCell ref="A1:D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7"/>
  <sheetViews>
    <sheetView topLeftCell="A9" zoomScale="85" zoomScaleNormal="85" workbookViewId="0">
      <selection activeCell="B47" sqref="B47"/>
    </sheetView>
  </sheetViews>
  <sheetFormatPr defaultColWidth="8.85546875" defaultRowHeight="15" x14ac:dyDescent="0.25"/>
  <cols>
    <col min="1" max="1" width="37.7109375" customWidth="1"/>
    <col min="2" max="2" width="17.85546875" customWidth="1"/>
    <col min="3" max="5" width="15" bestFit="1" customWidth="1"/>
    <col min="6" max="6" width="15" customWidth="1"/>
    <col min="7" max="7" width="18.85546875" customWidth="1"/>
    <col min="8" max="8" width="13.85546875" bestFit="1" customWidth="1"/>
    <col min="9" max="9" width="15" bestFit="1" customWidth="1"/>
  </cols>
  <sheetData>
    <row r="1" spans="1:7" s="2" customFormat="1" ht="21" x14ac:dyDescent="0.35">
      <c r="A1" s="110" t="s">
        <v>140</v>
      </c>
      <c r="B1" s="111"/>
      <c r="C1" s="111"/>
      <c r="D1" s="111"/>
      <c r="E1" s="111"/>
      <c r="F1" s="112"/>
    </row>
    <row r="2" spans="1:7" x14ac:dyDescent="0.25">
      <c r="A2" s="26" t="s">
        <v>0</v>
      </c>
      <c r="B2" s="113" t="s">
        <v>5</v>
      </c>
      <c r="C2" s="113"/>
      <c r="D2" s="113"/>
      <c r="E2" s="113"/>
      <c r="F2" s="113"/>
      <c r="G2" s="117" t="s">
        <v>135</v>
      </c>
    </row>
    <row r="3" spans="1:7" x14ac:dyDescent="0.25">
      <c r="A3" s="23"/>
      <c r="B3" s="26" t="s">
        <v>6</v>
      </c>
      <c r="C3" s="26" t="s">
        <v>7</v>
      </c>
      <c r="D3" s="26" t="s">
        <v>8</v>
      </c>
      <c r="E3" s="26" t="s">
        <v>9</v>
      </c>
      <c r="F3" s="26" t="s">
        <v>10</v>
      </c>
      <c r="G3" s="117"/>
    </row>
    <row r="4" spans="1:7" ht="18.75" x14ac:dyDescent="0.3">
      <c r="A4" s="51" t="s">
        <v>1</v>
      </c>
      <c r="B4" s="18"/>
      <c r="C4" s="18"/>
      <c r="D4" s="18"/>
      <c r="E4" s="18"/>
      <c r="F4" s="19"/>
      <c r="G4" s="15"/>
    </row>
    <row r="5" spans="1:7" x14ac:dyDescent="0.25">
      <c r="A5" s="27" t="s">
        <v>13</v>
      </c>
      <c r="B5" s="74">
        <f>SUM((costNewGroup1Server*numNewServersGroup1)+(costNewGroup2Server*numNewServersGroup2)+(costNewGroup3Server*numNewServersGroup3)+(costNewGroup4Server*numNewServersGroup4))</f>
        <v>110640067.2</v>
      </c>
      <c r="C5" s="74"/>
      <c r="D5" s="74"/>
      <c r="E5" s="74"/>
      <c r="F5" s="74"/>
      <c r="G5" s="71">
        <f t="shared" ref="G5:G18" si="0">SUM(B5:F5)</f>
        <v>110640067.2</v>
      </c>
    </row>
    <row r="6" spans="1:7" x14ac:dyDescent="0.25">
      <c r="A6" s="27" t="s">
        <v>14</v>
      </c>
      <c r="B6" s="74">
        <f>SUM((numNewServersGroup1+numNewServersGroup2+numNewServersGroup3+numNewServersGroup4)*virtualizationSoftwareCost)</f>
        <v>8820000</v>
      </c>
      <c r="C6" s="74"/>
      <c r="D6" s="74"/>
      <c r="E6" s="74"/>
      <c r="F6" s="74"/>
      <c r="G6" s="71">
        <f t="shared" si="0"/>
        <v>8820000</v>
      </c>
    </row>
    <row r="7" spans="1:7" x14ac:dyDescent="0.25">
      <c r="A7" s="27" t="s">
        <v>15</v>
      </c>
      <c r="B7" s="74">
        <f>totalSoftwarePurchases*virtualizationSoftwareMaintenanceRate</f>
        <v>1323000</v>
      </c>
      <c r="C7" s="74">
        <f>totalSoftwarePurchases*virtualizationSoftwareMaintenanceRate</f>
        <v>1323000</v>
      </c>
      <c r="D7" s="74">
        <f>totalSoftwarePurchases*virtualizationSoftwareMaintenanceRate</f>
        <v>1323000</v>
      </c>
      <c r="E7" s="74">
        <f>totalSoftwarePurchases*virtualizationSoftwareMaintenanceRate</f>
        <v>1323000</v>
      </c>
      <c r="F7" s="74">
        <f>totalSoftwarePurchases*virtualizationSoftwareMaintenanceRate</f>
        <v>1323000</v>
      </c>
      <c r="G7" s="71">
        <f t="shared" si="0"/>
        <v>6615000</v>
      </c>
    </row>
    <row r="8" spans="1:7" x14ac:dyDescent="0.25">
      <c r="A8" s="27" t="s">
        <v>148</v>
      </c>
      <c r="B8" s="70">
        <f>newServerPowerGroup1/wattsInAKilowatt*hoursInARealDay*numNewServersGroup1*costkwHYear1*daysInAYear</f>
        <v>2198453.4</v>
      </c>
      <c r="C8" s="70">
        <f>newServerPowerGroup1/wattsInAKilowatt*hoursInARealDay*numNewServersGroup1*costkwHYear1*daysInAYear*powerRateIncrease</f>
        <v>2242422.4679999999</v>
      </c>
      <c r="D8" s="70">
        <f>newServerPowerGroup1/wattsInAKilowatt*hoursInARealDay*numNewServersGroup1*costkwHYear1*daysInAYear*powerRateIncrease*powerRateIncrease</f>
        <v>2287270.9173599998</v>
      </c>
      <c r="E8" s="70">
        <f>newServerPowerGroup1/wattsInAKilowatt*hoursInARealDay*numNewServersGroup1*costkwHYear1*daysInAYear*powerRateIncrease*powerRateIncrease*powerRateIncrease</f>
        <v>2333016.3357071998</v>
      </c>
      <c r="F8" s="70">
        <f>newServerPowerGroup1/wattsInAKilowatt*hoursInARealDay*numNewServersGroup1*costkwHYear1*daysInAYear*powerRateIncrease*powerRateIncrease*powerRateIncrease*powerRateIncrease</f>
        <v>2379676.6624213438</v>
      </c>
      <c r="G8" s="71">
        <f t="shared" si="0"/>
        <v>11440839.783488544</v>
      </c>
    </row>
    <row r="9" spans="1:7" x14ac:dyDescent="0.25">
      <c r="A9" s="27" t="s">
        <v>46</v>
      </c>
      <c r="B9" s="70">
        <f>newServerPowerGroup2/wattsInAKilowatt*hoursInARealDay*numNewServersGroup2*costkwHYear1*daysInAYear</f>
        <v>414523.2</v>
      </c>
      <c r="C9" s="70">
        <f>newServerPowerGroup2/wattsInAKilowatt*hoursInARealDay*numNewServersGroup2*costkwHYear1*daysInAYear*powerRateIncrease</f>
        <v>422813.66400000005</v>
      </c>
      <c r="D9" s="70">
        <f>newServerPowerGroup2/wattsInAKilowatt*hoursInARealDay*numNewServersGroup2*costkwHYear1*daysInAYear*powerRateIncrease*powerRateIncrease</f>
        <v>431269.93728000007</v>
      </c>
      <c r="E9" s="70">
        <f>newServerPowerGroup2/wattsInAKilowatt*hoursInARealDay*numNewServersGroup2*costkwHYear1*daysInAYear*powerRateIncrease*powerRateIncrease*powerRateIncrease</f>
        <v>439895.33602560009</v>
      </c>
      <c r="F9" s="70">
        <f>newServerPowerGroup2/wattsInAKilowatt*hoursInARealDay*numNewServersGroup2*costkwHYear1*daysInAYear*powerRateIncrease*powerRateIncrease*powerRateIncrease*powerRateIncrease</f>
        <v>448693.24274611211</v>
      </c>
      <c r="G9" s="71">
        <f t="shared" si="0"/>
        <v>2157195.3800517125</v>
      </c>
    </row>
    <row r="10" spans="1:7" x14ac:dyDescent="0.25">
      <c r="A10" s="27" t="s">
        <v>149</v>
      </c>
      <c r="B10" s="70">
        <f>newServerPowerGroup3/wattsInAKilowatt*hoursInARealDay*numNewServersGroup3*costkwHYear1*daysInAYear</f>
        <v>8996.52</v>
      </c>
      <c r="C10" s="70">
        <f>newServerPowerGroup3/wattsInAKilowatt*hoursInARealDay*numNewServersGroup3*costkwHYear1*daysInAYear*powerRateIncrease</f>
        <v>9176.4503999999997</v>
      </c>
      <c r="D10" s="70">
        <f>newServerPowerGroup3/wattsInAKilowatt*hoursInARealDay*numNewServersGroup3*costkwHYear1*daysInAYear*powerRateIncrease*powerRateIncrease</f>
        <v>9359.9794079999992</v>
      </c>
      <c r="E10" s="70">
        <f>newServerPowerGroup3/wattsInAKilowatt*hoursInARealDay*numNewServersGroup3*costkwHYear1*daysInAYear*powerRateIncrease*powerRateIncrease*powerRateIncrease</f>
        <v>9547.1789961599989</v>
      </c>
      <c r="F10" s="70">
        <f>newServerPowerGroup3/wattsInAKilowatt*hoursInARealDay*numNewServersGroup3*costkwHYear1*daysInAYear*powerRateIncrease*powerRateIncrease*powerRateIncrease*powerRateIncrease</f>
        <v>9738.1225760831985</v>
      </c>
      <c r="G10" s="71">
        <f t="shared" si="0"/>
        <v>46818.251380243193</v>
      </c>
    </row>
    <row r="11" spans="1:7" x14ac:dyDescent="0.25">
      <c r="A11" s="27" t="s">
        <v>211</v>
      </c>
      <c r="B11" s="70">
        <f>newServerPowerGroup4/wattsInAKilowatt*hoursInARealDay*numNewServersGroup4*costkwHYear1*daysInAYear</f>
        <v>64114.439999999995</v>
      </c>
      <c r="C11" s="70">
        <f>newServerPowerGroup4/wattsInAKilowatt*hoursInARealDay*numNewServersGroup4*costkwHYear1*daysInAYear*powerRateIncrease</f>
        <v>65396.728799999997</v>
      </c>
      <c r="D11" s="70">
        <f>newServerPowerGroup4/wattsInAKilowatt*hoursInARealDay*numNewServersGroup4*costkwHYear1*daysInAYear*powerRateIncrease*powerRateIncrease</f>
        <v>66704.663375999997</v>
      </c>
      <c r="E11" s="70">
        <f>newServerPowerGroup4/wattsInAKilowatt*hoursInARealDay*numNewServersGroup4*costkwHYear1*daysInAYear*powerRateIncrease*powerRateIncrease*powerRateIncrease</f>
        <v>68038.756643519999</v>
      </c>
      <c r="F11" s="70">
        <f>newServerPowerGroup4/wattsInAKilowatt*hoursInARealDay*numNewServersGroup4*costkwHYear1*daysInAYear*powerRateIncrease*powerRateIncrease*powerRateIncrease*powerRateIncrease</f>
        <v>69399.531776390402</v>
      </c>
      <c r="G11" s="71">
        <f t="shared" si="0"/>
        <v>333654.12059591035</v>
      </c>
    </row>
    <row r="12" spans="1:7" x14ac:dyDescent="0.25">
      <c r="A12" s="27" t="s">
        <v>150</v>
      </c>
      <c r="B12" s="70">
        <f>year1Group1ServerMaintenance*numNewServersGroup1</f>
        <v>10262070</v>
      </c>
      <c r="C12" s="70">
        <f>year1Group1ServerMaintenance*numNewServersGroup1*serverMaintenanceRateIncrease</f>
        <v>10569932.1</v>
      </c>
      <c r="D12" s="70">
        <f>year1Group1ServerMaintenance*numNewServersGroup1*serverMaintenanceRateIncrease*serverMaintenanceRateIncrease</f>
        <v>10887030.062999999</v>
      </c>
      <c r="E12" s="70">
        <f>year1Group1ServerMaintenance*numNewServersGroup1*serverMaintenanceRateIncrease*serverMaintenanceRateIncrease*serverMaintenanceRateIncrease</f>
        <v>11213640.964889999</v>
      </c>
      <c r="F12" s="70">
        <f>year1Group1ServerMaintenance*numNewServersGroup1*serverMaintenanceRateIncrease*serverMaintenanceRateIncrease*serverMaintenanceRateIncrease*serverMaintenanceRateIncrease</f>
        <v>11550050.1938367</v>
      </c>
      <c r="G12" s="71">
        <f t="shared" si="0"/>
        <v>54482723.32172671</v>
      </c>
    </row>
    <row r="13" spans="1:7" x14ac:dyDescent="0.25">
      <c r="A13" s="27" t="s">
        <v>48</v>
      </c>
      <c r="B13" s="70">
        <f>year1Group2ServerMaintenance*numNewServersGroup2</f>
        <v>2394483</v>
      </c>
      <c r="C13" s="70">
        <f>year1Group2ServerMaintenance*numNewServersGroup2*serverMaintenanceRateIncrease</f>
        <v>2466317.4900000002</v>
      </c>
      <c r="D13" s="70">
        <f>year1Group2ServerMaintenance*numNewServersGroup2*serverMaintenanceRateIncrease*serverMaintenanceRateIncrease</f>
        <v>2540307.0147000002</v>
      </c>
      <c r="E13" s="70">
        <f>year1Group2ServerMaintenance*numNewServersGroup2*serverMaintenanceRateIncrease*serverMaintenanceRateIncrease*serverMaintenanceRateIncrease</f>
        <v>2616516.2251410005</v>
      </c>
      <c r="F13" s="70">
        <f>year1Group2ServerMaintenance*numNewServersGroup2*serverMaintenanceRateIncrease*serverMaintenanceRateIncrease*serverMaintenanceRateIncrease*serverMaintenanceRateIncrease</f>
        <v>2695011.7118952307</v>
      </c>
      <c r="G13" s="71">
        <f t="shared" si="0"/>
        <v>12712635.441736232</v>
      </c>
    </row>
    <row r="14" spans="1:7" x14ac:dyDescent="0.25">
      <c r="A14" s="27" t="s">
        <v>151</v>
      </c>
      <c r="B14" s="70">
        <f>year1Group3ServerMaintenance*numNewServersGroup3</f>
        <v>56386.823999999993</v>
      </c>
      <c r="C14" s="70">
        <f>year1Group3ServerMaintenance*numNewServersGroup3*serverMaintenanceRateIncrease</f>
        <v>58078.428719999996</v>
      </c>
      <c r="D14" s="70">
        <f>year1Group3ServerMaintenance*numNewServersGroup3*serverMaintenanceRateIncrease*serverMaintenanceRateIncrease</f>
        <v>59820.7815816</v>
      </c>
      <c r="E14" s="70">
        <f>year1Group3ServerMaintenance*numNewServersGroup3*serverMaintenanceRateIncrease*serverMaintenanceRateIncrease*serverMaintenanceRateIncrease</f>
        <v>61615.405029048001</v>
      </c>
      <c r="F14" s="70">
        <f>year1Group3ServerMaintenance*numNewServersGroup3*serverMaintenanceRateIncrease*serverMaintenanceRateIncrease*serverMaintenanceRateIncrease*serverMaintenanceRateIncrease</f>
        <v>63463.867179919442</v>
      </c>
      <c r="G14" s="71">
        <f t="shared" si="0"/>
        <v>299365.30651056743</v>
      </c>
    </row>
    <row r="15" spans="1:7" x14ac:dyDescent="0.25">
      <c r="A15" s="27" t="s">
        <v>212</v>
      </c>
      <c r="B15" s="70">
        <f>year1Group4ServerMaintenance*numNewServersGroup4</f>
        <v>563868.24</v>
      </c>
      <c r="C15" s="70">
        <f>year1Group4ServerMaintenance*numNewServersGroup4*serverMaintenanceRateIncrease</f>
        <v>580784.28720000002</v>
      </c>
      <c r="D15" s="70">
        <f>year1Group4ServerMaintenance*numNewServersGroup4*serverMaintenanceRateIncrease*serverMaintenanceRateIncrease</f>
        <v>598207.81581599999</v>
      </c>
      <c r="E15" s="70">
        <f>year1Group4ServerMaintenance*numNewServersGroup4*serverMaintenanceRateIncrease*serverMaintenanceRateIncrease*serverMaintenanceRateIncrease</f>
        <v>616154.05029048002</v>
      </c>
      <c r="F15" s="70">
        <f>year1Group4ServerMaintenance*numNewServersGroup4*serverMaintenanceRateIncrease*serverMaintenanceRateIncrease*serverMaintenanceRateIncrease*serverMaintenanceRateIncrease</f>
        <v>634638.67179919442</v>
      </c>
      <c r="G15" s="71">
        <f t="shared" si="0"/>
        <v>2993653.0651056743</v>
      </c>
    </row>
    <row r="16" spans="1:7" x14ac:dyDescent="0.25">
      <c r="A16" s="27" t="s">
        <v>16</v>
      </c>
      <c r="B16" s="70">
        <f>trainingCostPerEmployee*empsTrainedYears1And2</f>
        <v>22000</v>
      </c>
      <c r="C16" s="70">
        <f>trainingCostPerEmployee*empsTrainedYears1And2</f>
        <v>22000</v>
      </c>
      <c r="D16" s="70">
        <f>trainingCostPerEmployee*empsTrainedYears3Thru5</f>
        <v>11000</v>
      </c>
      <c r="E16" s="70">
        <f>trainingCostPerEmployee*empsTrainedYears3Thru5</f>
        <v>11000</v>
      </c>
      <c r="F16" s="70">
        <f>trainingCostPerEmployee*empsTrainedYears3Thru5</f>
        <v>11000</v>
      </c>
      <c r="G16" s="71">
        <f t="shared" si="0"/>
        <v>77000</v>
      </c>
    </row>
    <row r="17" spans="1:9" x14ac:dyDescent="0.25">
      <c r="A17" s="27" t="s">
        <v>49</v>
      </c>
      <c r="B17" s="70">
        <f>securityFirmMonthlyCharge*monthsInAYear</f>
        <v>36000</v>
      </c>
      <c r="C17" s="70">
        <f>securityFirmMonthlyCharge*monthsInAYear</f>
        <v>36000</v>
      </c>
      <c r="D17" s="70">
        <f>securityFirmMonthlyCharge*monthsInAYear</f>
        <v>36000</v>
      </c>
      <c r="E17" s="70">
        <f>securityFirmMonthlyCharge*monthsInAYear</f>
        <v>36000</v>
      </c>
      <c r="F17" s="70">
        <f>securityFirmMonthlyCharge*monthsInAYear</f>
        <v>36000</v>
      </c>
      <c r="G17" s="71">
        <f t="shared" si="0"/>
        <v>180000</v>
      </c>
    </row>
    <row r="18" spans="1:9" x14ac:dyDescent="0.25">
      <c r="A18" s="27" t="s">
        <v>50</v>
      </c>
      <c r="B18" s="70">
        <f>dataStorageMonthlyChargeYears1And2*monthsInAYear</f>
        <v>60000</v>
      </c>
      <c r="C18" s="70">
        <f>dataStorageMonthlyChargeYears1And2*monthsInAYear</f>
        <v>60000</v>
      </c>
      <c r="D18" s="70">
        <f>dataStorageMonthlyChargeYears3Thru5*monthsInAYear</f>
        <v>96000</v>
      </c>
      <c r="E18" s="70">
        <f>dataStorageMonthlyChargeYears3Thru5*monthsInAYear</f>
        <v>96000</v>
      </c>
      <c r="F18" s="70">
        <f>dataStorageMonthlyChargeYears3Thru5*monthsInAYear</f>
        <v>96000</v>
      </c>
      <c r="G18" s="71">
        <f t="shared" si="0"/>
        <v>408000</v>
      </c>
    </row>
    <row r="19" spans="1:9" ht="15" customHeight="1" x14ac:dyDescent="0.25">
      <c r="A19" s="92"/>
      <c r="B19" s="93"/>
      <c r="C19" s="93"/>
      <c r="D19" s="93"/>
      <c r="E19" s="93"/>
      <c r="F19" s="94"/>
      <c r="G19" s="23"/>
    </row>
    <row r="20" spans="1:9" ht="17.25" customHeight="1" x14ac:dyDescent="0.25">
      <c r="A20" s="44" t="s">
        <v>2</v>
      </c>
      <c r="B20" s="72">
        <f>SUM(B5:B19)</f>
        <v>136863962.824</v>
      </c>
      <c r="C20" s="72">
        <f>SUM(C5:C19)</f>
        <v>17855921.617120001</v>
      </c>
      <c r="D20" s="72">
        <f>SUM(D5:D19)</f>
        <v>18345971.172521599</v>
      </c>
      <c r="E20" s="72">
        <f>SUM(E5:E19)</f>
        <v>18824424.252723008</v>
      </c>
      <c r="F20" s="72">
        <f>SUM(F5:F19)</f>
        <v>19316672.004230972</v>
      </c>
      <c r="G20" s="71">
        <f>SUM(B20:F20)</f>
        <v>211206951.87059557</v>
      </c>
    </row>
    <row r="21" spans="1:9" ht="14.25" customHeight="1" x14ac:dyDescent="0.25">
      <c r="A21" s="92"/>
      <c r="B21" s="93"/>
      <c r="C21" s="93"/>
      <c r="D21" s="93"/>
      <c r="E21" s="93"/>
      <c r="F21" s="94"/>
      <c r="G21" s="23"/>
    </row>
    <row r="22" spans="1:9" x14ac:dyDescent="0.25">
      <c r="A22" s="39" t="s">
        <v>20</v>
      </c>
      <c r="B22" s="73">
        <f>totalHardCostsYearsVirtualized</f>
        <v>211206951.87059557</v>
      </c>
      <c r="C22" s="114"/>
      <c r="D22" s="115"/>
      <c r="E22" s="115"/>
      <c r="F22" s="116"/>
      <c r="G22" s="23"/>
    </row>
    <row r="23" spans="1:9" x14ac:dyDescent="0.25">
      <c r="A23" s="92"/>
      <c r="B23" s="93"/>
      <c r="C23" s="93"/>
      <c r="D23" s="93"/>
      <c r="E23" s="93"/>
      <c r="F23" s="94"/>
      <c r="G23" s="23"/>
    </row>
    <row r="24" spans="1:9" ht="18.75" x14ac:dyDescent="0.3">
      <c r="A24" s="52" t="s">
        <v>3</v>
      </c>
      <c r="B24" s="16"/>
      <c r="C24" s="16"/>
      <c r="D24" s="16"/>
      <c r="E24" s="16"/>
      <c r="F24" s="17"/>
      <c r="G24" s="15"/>
    </row>
    <row r="25" spans="1:9" x14ac:dyDescent="0.25">
      <c r="A25" s="27" t="s">
        <v>100</v>
      </c>
      <c r="B25" s="74">
        <f>weeksAdminTimeNewServers*hoursInAWeek*administrativeCostPerHourYear1*numNewServersGroup1</f>
        <v>75600000</v>
      </c>
      <c r="C25" s="74">
        <f>weeksAdminTimeNewServers*hoursInAWeek*administrativeCostPerHourYear1*numNewServersGroup1*administrativeRateIncrease</f>
        <v>77112000</v>
      </c>
      <c r="D25" s="74">
        <f>weeksAdminTimeNewServers*hoursInAWeek*administrativeCostPerHourYear1*numNewServersGroup1*administrativeRateIncrease*administrativeRateIncrease</f>
        <v>78654240</v>
      </c>
      <c r="E25" s="74">
        <f>weeksAdminTimeNewServers*hoursInAWeek*administrativeCostPerHourYear1*numNewServersGroup1*administrativeRateIncrease*administrativeRateIncrease*administrativeRateIncrease</f>
        <v>80227324.799999997</v>
      </c>
      <c r="F25" s="74">
        <f>weeksAdminTimeNewServers*hoursInAWeek*administrativeCostPerHourYear1*numNewServersGroup1*administrativeRateIncrease*administrativeRateIncrease*administrativeRateIncrease*administrativeRateIncrease</f>
        <v>81831871.296000004</v>
      </c>
      <c r="G25" s="71">
        <f t="shared" ref="G25:G33" si="1">SUM(B25:F25)</f>
        <v>393425436.09600002</v>
      </c>
    </row>
    <row r="26" spans="1:9" x14ac:dyDescent="0.25">
      <c r="A26" s="27" t="s">
        <v>103</v>
      </c>
      <c r="B26" s="74">
        <f>SUM(weeksAdminTimeNewServers*hoursInAWeek*administrativeCostPerHourYear1*numVirtualServersGroup1)*adminCostOnVirtualServer</f>
        <v>63000000</v>
      </c>
      <c r="C26" s="74">
        <f>SUM(weeksAdminTimeNewServers*hoursInAWeek*administrativeCostPerHourYear1*numVirtualServersGroup1)*adminCostOnVirtualServer*administrativeRateIncrease</f>
        <v>64260000</v>
      </c>
      <c r="D26" s="74">
        <f>SUM(weeksAdminTimeNewServers*hoursInAWeek*administrativeCostPerHourYear1*numVirtualServersGroup1)*adminCostOnVirtualServer*administrativeRateIncrease*administrativeRateIncrease</f>
        <v>65545200</v>
      </c>
      <c r="E26" s="74">
        <f>SUM(weeksAdminTimeNewServers*hoursInAWeek*administrativeCostPerHourYear1*numVirtualServersGroup1)*adminCostOnVirtualServer*administrativeRateIncrease*administrativeRateIncrease*administrativeRateIncrease</f>
        <v>66856104</v>
      </c>
      <c r="F26" s="74">
        <f>SUM(weeksAdminTimeNewServers*hoursInAWeek*administrativeCostPerHourYear1*numVirtualServersGroup1)*adminCostOnVirtualServer*administrativeRateIncrease*administrativeRateIncrease*administrativeRateIncrease*administrativeRateIncrease</f>
        <v>68193226.079999998</v>
      </c>
      <c r="G26" s="71">
        <f t="shared" si="1"/>
        <v>327854530.07999998</v>
      </c>
      <c r="H26" s="30"/>
      <c r="I26" s="78"/>
    </row>
    <row r="27" spans="1:9" x14ac:dyDescent="0.25">
      <c r="A27" s="27" t="s">
        <v>101</v>
      </c>
      <c r="B27" s="74">
        <f>weeksAdminTimeNewServers*hoursInAWeek*administrativeCostPerHourYear1*numNewServersGroup2</f>
        <v>17640000</v>
      </c>
      <c r="C27" s="74">
        <f>weeksAdminTimeNewServers*hoursInAWeek*administrativeCostPerHourYear1*numNewServersGroup2*administrativeRateIncrease</f>
        <v>17992800</v>
      </c>
      <c r="D27" s="74">
        <f>weeksAdminTimeNewServers*hoursInAWeek*administrativeCostPerHourYear1*numNewServersGroup2*administrativeRateIncrease*administrativeRateIncrease</f>
        <v>18352656</v>
      </c>
      <c r="E27" s="74">
        <f>weeksAdminTimeNewServers*hoursInAWeek*administrativeCostPerHourYear1*numNewServersGroup2*administrativeRateIncrease*administrativeRateIncrease*administrativeRateIncrease</f>
        <v>18719709.120000001</v>
      </c>
      <c r="F27" s="74">
        <f>weeksAdminTimeNewServers*hoursInAWeek*administrativeCostPerHourYear1*numNewServersGroup2*administrativeRateIncrease*administrativeRateIncrease*administrativeRateIncrease*administrativeRateIncrease</f>
        <v>19094103.3024</v>
      </c>
      <c r="G27" s="71">
        <f t="shared" si="1"/>
        <v>91799268.422399998</v>
      </c>
    </row>
    <row r="28" spans="1:9" x14ac:dyDescent="0.25">
      <c r="A28" s="27" t="s">
        <v>104</v>
      </c>
      <c r="B28" s="74">
        <f>SUM(weeksAdminTimeNewServers*hoursInAWeek*administrativeCostPerHourYear1*numVirtualServersGroup2)*adminCostOnVirtualServer</f>
        <v>25200000</v>
      </c>
      <c r="C28" s="74">
        <f>SUM(weeksAdminTimeNewServers*hoursInAWeek*administrativeCostPerHourYear1*numVirtualServersGroup2)*adminCostOnVirtualServer*administrativeRateIncrease</f>
        <v>25704000</v>
      </c>
      <c r="D28" s="74">
        <f>SUM(weeksAdminTimeNewServers*hoursInAWeek*administrativeCostPerHourYear1*numVirtualServersGroup2)*adminCostOnVirtualServer*administrativeRateIncrease*administrativeRateIncrease</f>
        <v>26218080</v>
      </c>
      <c r="E28" s="74">
        <f>SUM(weeksAdminTimeNewServers*hoursInAWeek*administrativeCostPerHourYear1*numVirtualServersGroup2)*adminCostOnVirtualServer*administrativeRateIncrease*administrativeRateIncrease*administrativeRateIncrease</f>
        <v>26742441.600000001</v>
      </c>
      <c r="F28" s="74">
        <f>SUM(weeksAdminTimeNewServers*hoursInAWeek*administrativeCostPerHourYear1*numVirtualServersGroup2)*adminCostOnVirtualServer*administrativeRateIncrease*administrativeRateIncrease*administrativeRateIncrease*administrativeRateIncrease</f>
        <v>27277290.432000004</v>
      </c>
      <c r="G28" s="71">
        <f t="shared" si="1"/>
        <v>131141812.03200001</v>
      </c>
    </row>
    <row r="29" spans="1:9" x14ac:dyDescent="0.25">
      <c r="A29" s="27" t="s">
        <v>102</v>
      </c>
      <c r="B29" s="74">
        <f>weeksAdminTimeNewServers*hoursInAWeek*administrativeCostPerHourYear1*numNewServersGroup3</f>
        <v>504000</v>
      </c>
      <c r="C29" s="74">
        <f>weeksAdminTimeNewServers*hoursInAWeek*administrativeCostPerHourYear1*numNewServersGroup3*administrativeRateIncrease</f>
        <v>514080</v>
      </c>
      <c r="D29" s="74">
        <f>weeksAdminTimeNewServers*hoursInAWeek*administrativeCostPerHourYear1*numNewServersGroup3*administrativeRateIncrease*administrativeRateIncrease</f>
        <v>524361.6</v>
      </c>
      <c r="E29" s="74">
        <f>weeksAdminTimeNewServers*hoursInAWeek*administrativeCostPerHourYear1*numNewServersGroup3*administrativeRateIncrease*administrativeRateIncrease*administrativeRateIncrease</f>
        <v>534848.83199999994</v>
      </c>
      <c r="F29" s="74">
        <f>weeksAdminTimeNewServers*hoursInAWeek*administrativeCostPerHourYear1*numNewServersGroup3*administrativeRateIncrease*administrativeRateIncrease*administrativeRateIncrease*administrativeRateIncrease</f>
        <v>545545.80863999994</v>
      </c>
      <c r="G29" s="71">
        <f t="shared" si="1"/>
        <v>2622836.24064</v>
      </c>
    </row>
    <row r="30" spans="1:9" x14ac:dyDescent="0.25">
      <c r="A30" s="27" t="s">
        <v>105</v>
      </c>
      <c r="B30" s="74">
        <f>SUM(weeksAdminTimeNewServers*hoursInAWeek*administrativeCostPerHourYear1*numVirtualServersGroup3)*adminCostOnVirtualServer</f>
        <v>756000</v>
      </c>
      <c r="C30" s="74">
        <f>SUM(weeksAdminTimeNewServers*hoursInAWeek*administrativeCostPerHourYear1*numVirtualServersGroup3)*adminCostOnVirtualServer*administrativeRateIncrease</f>
        <v>771120</v>
      </c>
      <c r="D30" s="74">
        <f>SUM(weeksAdminTimeNewServers*hoursInAWeek*administrativeCostPerHourYear1*numVirtualServersGroup3)*adminCostOnVirtualServer*administrativeRateIncrease*administrativeRateIncrease</f>
        <v>786542.4</v>
      </c>
      <c r="E30" s="74">
        <f>SUM(weeksAdminTimeNewServers*hoursInAWeek*administrativeCostPerHourYear1*numVirtualServersGroup3)*adminCostOnVirtualServer*administrativeRateIncrease*administrativeRateIncrease*administrativeRateIncrease</f>
        <v>802273.24800000002</v>
      </c>
      <c r="F30" s="74">
        <f>SUM(weeksAdminTimeNewServers*hoursInAWeek*administrativeCostPerHourYear1*numVirtualServersGroup3)*adminCostOnVirtualServer*administrativeRateIncrease*administrativeRateIncrease*administrativeRateIncrease*administrativeRateIncrease</f>
        <v>818318.71296000003</v>
      </c>
      <c r="G30" s="71">
        <f t="shared" si="1"/>
        <v>3934254.3609600002</v>
      </c>
    </row>
    <row r="31" spans="1:9" x14ac:dyDescent="0.25">
      <c r="A31" s="27" t="s">
        <v>213</v>
      </c>
      <c r="B31" s="74">
        <f>weeksAdminTimeNewServers*hoursInAWeek*administrativeCostPerHourYear1*numNewServersGroup4</f>
        <v>5040000</v>
      </c>
      <c r="C31" s="74">
        <f>weeksAdminTimeNewServers*hoursInAWeek*administrativeCostPerHourYear1*numNewServersGroup4*administrativeRateIncrease</f>
        <v>5140800</v>
      </c>
      <c r="D31" s="74">
        <f>weeksAdminTimeNewServers*hoursInAWeek*administrativeCostPerHourYear1*numNewServersGroup4*administrativeRateIncrease*administrativeRateIncrease</f>
        <v>5243616</v>
      </c>
      <c r="E31" s="74">
        <f>weeksAdminTimeNewServers*hoursInAWeek*administrativeCostPerHourYear1*numNewServersGroup4*administrativeRateIncrease*administrativeRateIncrease*administrativeRateIncrease</f>
        <v>5348488.32</v>
      </c>
      <c r="F31" s="74">
        <f>weeksAdminTimeNewServers*hoursInAWeek*administrativeCostPerHourYear1*numNewServersGroup4*administrativeRateIncrease*administrativeRateIncrease*administrativeRateIncrease*administrativeRateIncrease</f>
        <v>5455458.0864000004</v>
      </c>
      <c r="G31" s="71">
        <f t="shared" si="1"/>
        <v>26228362.406400003</v>
      </c>
    </row>
    <row r="32" spans="1:9" x14ac:dyDescent="0.25">
      <c r="A32" s="62" t="s">
        <v>214</v>
      </c>
      <c r="B32" s="74">
        <f>SUM(weeksAdminTimeNewServers*hoursInAWeek*administrativeCostPerHourYear1*numVirtualServersGroup4)*adminCostOnVirtualServer</f>
        <v>7560000</v>
      </c>
      <c r="C32" s="74">
        <f>SUM(weeksAdminTimeNewServers*hoursInAWeek*administrativeCostPerHourYear1*numVirtualServersGroup4)*adminCostOnVirtualServer*administrativeRateIncrease</f>
        <v>7711200</v>
      </c>
      <c r="D32" s="74">
        <f>SUM(weeksAdminTimeNewServers*hoursInAWeek*administrativeCostPerHourYear1*numVirtualServersGroup4)*adminCostOnVirtualServer*administrativeRateIncrease*administrativeRateIncrease</f>
        <v>7865424</v>
      </c>
      <c r="E32" s="74">
        <f>SUM(weeksAdminTimeNewServers*hoursInAWeek*administrativeCostPerHourYear1*numVirtualServersGroup4)*adminCostOnVirtualServer*administrativeRateIncrease*administrativeRateIncrease*administrativeRateIncrease</f>
        <v>8022732.4800000004</v>
      </c>
      <c r="F32" s="74">
        <f>SUM(weeksAdminTimeNewServers*hoursInAWeek*administrativeCostPerHourYear1*numVirtualServersGroup4)*adminCostOnVirtualServer*administrativeRateIncrease*administrativeRateIncrease*administrativeRateIncrease*administrativeRateIncrease</f>
        <v>8183187.1296000006</v>
      </c>
      <c r="G32" s="71">
        <f t="shared" si="1"/>
        <v>39342543.6096</v>
      </c>
    </row>
    <row r="33" spans="1:9" x14ac:dyDescent="0.25">
      <c r="A33" s="53" t="s">
        <v>141</v>
      </c>
      <c r="B33" s="76">
        <f>SUM(B25:B32)</f>
        <v>195300000</v>
      </c>
      <c r="C33" s="76">
        <f>SUM(C25:C32)</f>
        <v>199206000</v>
      </c>
      <c r="D33" s="76">
        <f>SUM(D25:D32)</f>
        <v>203190120</v>
      </c>
      <c r="E33" s="76">
        <f>SUM(E25:E32)</f>
        <v>207253922.39999998</v>
      </c>
      <c r="F33" s="76">
        <f>SUM(F25:F32)</f>
        <v>211399000.84799999</v>
      </c>
      <c r="G33" s="71">
        <f t="shared" si="1"/>
        <v>1016349043.2479999</v>
      </c>
      <c r="H33" s="30"/>
    </row>
    <row r="34" spans="1:9" ht="15" customHeight="1" x14ac:dyDescent="0.25">
      <c r="A34" s="92"/>
      <c r="B34" s="93"/>
      <c r="C34" s="93"/>
      <c r="D34" s="93"/>
      <c r="E34" s="93"/>
      <c r="F34" s="94"/>
      <c r="G34" s="23"/>
    </row>
    <row r="35" spans="1:9" x14ac:dyDescent="0.25">
      <c r="A35" s="27" t="s">
        <v>108</v>
      </c>
      <c r="B35" s="74">
        <f>numberOfBackUpsGroup1V*backupTimeGroup1V*numNewServersGroup1*administrativeCostPerHourYear1</f>
        <v>49275000</v>
      </c>
      <c r="C35" s="74">
        <f>numberOfBackUpsGroup1V*backupTimeGroup1V*numNewServersGroup1*administrativeCostPerHourYear1*administrativeRateIncrease</f>
        <v>50260500</v>
      </c>
      <c r="D35" s="74">
        <f>numberOfBackUpsGroup1V*backupTimeGroup1V*numNewServersGroup1*administrativeCostPerHourYear1*administrativeRateIncrease*administrativeRateIncrease</f>
        <v>51265710</v>
      </c>
      <c r="E35" s="74">
        <f>numberOfBackUpsGroup1V*backupTimeGroup1V*numNewServersGroup1*administrativeCostPerHourYear1*administrativeRateIncrease*administrativeRateIncrease*administrativeRateIncrease</f>
        <v>52291024.200000003</v>
      </c>
      <c r="F35" s="74">
        <f>numberOfBackUpsGroup1V*backupTimeGroup1V*numNewServersGroup1*administrativeCostPerHourYear1*administrativeRateIncrease*administrativeRateIncrease*administrativeRateIncrease*administrativeRateIncrease</f>
        <v>53336844.684</v>
      </c>
      <c r="G35" s="71">
        <f>SUM(B35:F35)</f>
        <v>256429078.884</v>
      </c>
    </row>
    <row r="36" spans="1:9" x14ac:dyDescent="0.25">
      <c r="A36" s="27" t="s">
        <v>109</v>
      </c>
      <c r="B36" s="74">
        <f>numberOfBackUpsGroup2V*backUpTimeGroup2V*numNewServersGroup2*administrativeCostPerHourYear1</f>
        <v>11497500</v>
      </c>
      <c r="C36" s="74">
        <f>numberOfBackUpsGroup2V*backUpTimeGroup2V*numNewServersGroup2*administrativeCostPerHourYear1*administrativeRateIncrease</f>
        <v>11727450</v>
      </c>
      <c r="D36" s="74">
        <f>numberOfBackUpsGroup2V*backUpTimeGroup2V*numNewServersGroup2*administrativeCostPerHourYear1*administrativeRateIncrease*administrativeRateIncrease</f>
        <v>11961999</v>
      </c>
      <c r="E36" s="74">
        <f>numberOfBackUpsGroup2V*backUpTimeGroup2V*numNewServersGroup2*administrativeCostPerHourYear1*administrativeRateIncrease*administrativeRateIncrease*administrativeRateIncrease</f>
        <v>12201238.98</v>
      </c>
      <c r="F36" s="74">
        <f>numberOfBackUpsGroup2V*backUpTimeGroup2V*numNewServersGroup2*administrativeCostPerHourYear1*administrativeRateIncrease*administrativeRateIncrease*administrativeRateIncrease*administrativeRateIncrease</f>
        <v>12445263.7596</v>
      </c>
      <c r="G36" s="71">
        <f>SUM(B36:F36)</f>
        <v>59833451.739600003</v>
      </c>
    </row>
    <row r="37" spans="1:9" x14ac:dyDescent="0.25">
      <c r="A37" s="27" t="s">
        <v>110</v>
      </c>
      <c r="B37" s="74">
        <f>numberOfBackUpsGroup3V*backUpTimeGroup3V*numNewServersGroup3*administrativeCostPerHourYear1</f>
        <v>328500</v>
      </c>
      <c r="C37" s="74">
        <f>numberOfBackUpsGroup3V*backUpTimeGroup3V*numNewServersGroup3*administrativeCostPerHourYear1*administrativeRateIncrease</f>
        <v>335070</v>
      </c>
      <c r="D37" s="74">
        <f>numberOfBackUpsGroup3V*backUpTimeGroup3V*numNewServersGroup3*administrativeCostPerHourYear1*administrativeRateIncrease*administrativeRateIncrease</f>
        <v>341771.4</v>
      </c>
      <c r="E37" s="74">
        <f>numberOfBackUpsGroup3V*backUpTimeGroup3V*numNewServersGroup3*administrativeCostPerHourYear1*administrativeRateIncrease*administrativeRateIncrease*administrativeRateIncrease</f>
        <v>348606.82800000004</v>
      </c>
      <c r="F37" s="74">
        <f>numberOfBackUpsGroup3V*backUpTimeGroup3V*numNewServersGroup3*administrativeCostPerHourYear1*administrativeRateIncrease*administrativeRateIncrease*administrativeRateIncrease*administrativeRateIncrease</f>
        <v>355578.96456000005</v>
      </c>
      <c r="G37" s="71">
        <f>SUM(B37:F37)</f>
        <v>1709527.1925600001</v>
      </c>
    </row>
    <row r="38" spans="1:9" x14ac:dyDescent="0.25">
      <c r="A38" s="27" t="s">
        <v>215</v>
      </c>
      <c r="B38" s="74">
        <f>numberOfBackUpsGroup4V*backupTimeGroup4V*numNewServersGroup4*administrativeCostPerHourYear1</f>
        <v>702000</v>
      </c>
      <c r="C38" s="74">
        <f>numberOfBackUpsGroup4V*backupTimeGroup4V*numNewServersGroup4*administrativeCostPerHourYear1*administrativeRateIncrease</f>
        <v>716040</v>
      </c>
      <c r="D38" s="74">
        <f>numberOfBackUpsGroup4V*backupTimeGroup4V*numNewServersGroup4*administrativeCostPerHourYear1*administrativeRateIncrease*administrativeRateIncrease</f>
        <v>730360.8</v>
      </c>
      <c r="E38" s="74">
        <f>numberOfBackUpsGroup4V*backupTimeGroup4V*numNewServersGroup4*administrativeCostPerHourYear1*administrativeRateIncrease*administrativeRateIncrease*administrativeRateIncrease</f>
        <v>744968.01600000006</v>
      </c>
      <c r="F38" s="74">
        <f>numberOfBackUpsGroup4V*backupTimeGroup4V*numNewServersGroup4*administrativeCostPerHourYear1*administrativeRateIncrease*administrativeRateIncrease*administrativeRateIncrease*administrativeRateIncrease</f>
        <v>759867.37632000004</v>
      </c>
      <c r="G38" s="71">
        <f>SUM(B38:F38)</f>
        <v>3653236.1923199994</v>
      </c>
    </row>
    <row r="39" spans="1:9" x14ac:dyDescent="0.25">
      <c r="A39" s="53" t="s">
        <v>142</v>
      </c>
      <c r="B39" s="76">
        <f>SUM(B35:B38)</f>
        <v>61803000</v>
      </c>
      <c r="C39" s="76">
        <f>SUM(C35:C38)</f>
        <v>63039060</v>
      </c>
      <c r="D39" s="76">
        <f>SUM(D35:D38)</f>
        <v>64299841.199999996</v>
      </c>
      <c r="E39" s="76">
        <f>SUM(E35:E38)</f>
        <v>65585838.024000011</v>
      </c>
      <c r="F39" s="76">
        <f>SUM(F35:F38)</f>
        <v>66897554.784479998</v>
      </c>
      <c r="G39" s="71">
        <f>SUM(B39:F39)</f>
        <v>321625294.00848001</v>
      </c>
      <c r="I39" s="30"/>
    </row>
    <row r="40" spans="1:9" ht="15.75" customHeight="1" x14ac:dyDescent="0.25">
      <c r="A40" s="92"/>
      <c r="B40" s="93"/>
      <c r="C40" s="93"/>
      <c r="D40" s="93"/>
      <c r="E40" s="93"/>
      <c r="F40" s="94"/>
      <c r="G40" s="23"/>
    </row>
    <row r="41" spans="1:9" x14ac:dyDescent="0.25">
      <c r="A41" s="44" t="s">
        <v>4</v>
      </c>
      <c r="B41" s="76">
        <f>subtotalTotalAdministrationCostPYear1+subtotalTotalBackupCostPYear1</f>
        <v>257103000</v>
      </c>
      <c r="C41" s="76">
        <f>subtotalTotalAdministrationCostPYear2+subtotalTotalBackupCostPYear2</f>
        <v>262245060</v>
      </c>
      <c r="D41" s="76">
        <f>subtotalTotalAdministrationCostPYear3+subtotalTotalBackupCostPYear3</f>
        <v>267489961.19999999</v>
      </c>
      <c r="E41" s="76">
        <f>subtotalTotalAdministrationCostPYear4+subtotalTotalBackupCostPYear4</f>
        <v>272839760.42399997</v>
      </c>
      <c r="F41" s="76">
        <f>subtotalTotalAdministrationCostPYear5+subtotalTotalBackupCostPYear5</f>
        <v>278296555.63247997</v>
      </c>
      <c r="G41" s="71">
        <f>SUM(B41:F41)</f>
        <v>1337974337.25648</v>
      </c>
      <c r="H41" s="30"/>
      <c r="I41" s="30"/>
    </row>
    <row r="42" spans="1:9" ht="13.5" customHeight="1" x14ac:dyDescent="0.25">
      <c r="A42" s="92"/>
      <c r="B42" s="93"/>
      <c r="C42" s="93"/>
      <c r="D42" s="93"/>
      <c r="E42" s="93"/>
      <c r="F42" s="94"/>
      <c r="G42" s="23"/>
    </row>
    <row r="43" spans="1:9" x14ac:dyDescent="0.25">
      <c r="A43" s="34" t="s">
        <v>12</v>
      </c>
      <c r="B43" s="73">
        <f>totalSoftCostsYearsVirtualized</f>
        <v>1337974337.25648</v>
      </c>
      <c r="C43" s="114"/>
      <c r="D43" s="115"/>
      <c r="E43" s="115"/>
      <c r="F43" s="116"/>
      <c r="G43" s="23"/>
    </row>
    <row r="44" spans="1:9" x14ac:dyDescent="0.25">
      <c r="A44" s="49"/>
      <c r="B44" s="40"/>
      <c r="C44" s="40"/>
      <c r="D44" s="40"/>
      <c r="E44" s="40"/>
      <c r="F44" s="41"/>
      <c r="G44" s="23"/>
    </row>
    <row r="45" spans="1:9" x14ac:dyDescent="0.25">
      <c r="A45" s="53" t="s">
        <v>143</v>
      </c>
      <c r="B45" s="76">
        <f>SUM(totalYearlyCostYear1P+totalYearlySoftCostYear1P)</f>
        <v>393966962.824</v>
      </c>
      <c r="C45" s="76">
        <f>SUM(totalYearlyCostYear2P+totalYearlySoftCostYear2P)</f>
        <v>280100981.61712003</v>
      </c>
      <c r="D45" s="76">
        <f>SUM(totalYearlyCostYear3P+totalYearlySoftCostYear3P)</f>
        <v>285835932.37252158</v>
      </c>
      <c r="E45" s="76">
        <f>SUM(totalYearlyCostYear4P+totalYearlySoftCostYear4P)</f>
        <v>291664184.676723</v>
      </c>
      <c r="F45" s="76">
        <f>SUM(totalYearlyCostYear5P+totalYearlySoftCostYear5P)</f>
        <v>297613227.63671094</v>
      </c>
      <c r="G45" s="71">
        <f>SUM(B45:F45)</f>
        <v>1549181289.1270754</v>
      </c>
    </row>
    <row r="46" spans="1:9" x14ac:dyDescent="0.25">
      <c r="A46" s="92"/>
      <c r="B46" s="93"/>
      <c r="C46" s="93"/>
      <c r="D46" s="93"/>
      <c r="E46" s="93"/>
      <c r="F46" s="94"/>
      <c r="G46" s="23"/>
    </row>
    <row r="47" spans="1:9" x14ac:dyDescent="0.25">
      <c r="A47" s="54" t="s">
        <v>144</v>
      </c>
      <c r="B47" s="77">
        <f>totalProposedProject</f>
        <v>1549181289.1270754</v>
      </c>
      <c r="C47" s="28"/>
      <c r="D47" s="28"/>
      <c r="E47" s="28"/>
      <c r="F47" s="28"/>
      <c r="G47" s="23"/>
    </row>
  </sheetData>
  <mergeCells count="12">
    <mergeCell ref="G2:G3"/>
    <mergeCell ref="C43:F43"/>
    <mergeCell ref="A34:F34"/>
    <mergeCell ref="A40:F40"/>
    <mergeCell ref="A42:F42"/>
    <mergeCell ref="A46:F46"/>
    <mergeCell ref="A1:F1"/>
    <mergeCell ref="B2:F2"/>
    <mergeCell ref="A21:F21"/>
    <mergeCell ref="A23:F23"/>
    <mergeCell ref="C22:F22"/>
    <mergeCell ref="A19:F19"/>
  </mergeCells>
  <printOptions gridLines="1"/>
  <pageMargins left="0.27" right="0.19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tabSelected="1" zoomScale="115" zoomScaleNormal="115" workbookViewId="0">
      <selection activeCell="C21" sqref="C21"/>
    </sheetView>
  </sheetViews>
  <sheetFormatPr defaultColWidth="8.85546875" defaultRowHeight="15" x14ac:dyDescent="0.25"/>
  <cols>
    <col min="1" max="1" width="28.28515625" customWidth="1"/>
    <col min="2" max="2" width="24.140625" customWidth="1"/>
    <col min="3" max="3" width="24.42578125" customWidth="1"/>
    <col min="4" max="4" width="16.140625" bestFit="1" customWidth="1"/>
    <col min="5" max="5" width="15.7109375" customWidth="1"/>
    <col min="6" max="7" width="16.140625" bestFit="1" customWidth="1"/>
  </cols>
  <sheetData>
    <row r="1" spans="1:8" ht="21" x14ac:dyDescent="0.35">
      <c r="A1" s="120" t="s">
        <v>17</v>
      </c>
      <c r="B1" s="121"/>
      <c r="C1" s="121"/>
      <c r="D1" s="121"/>
      <c r="E1" s="121"/>
      <c r="F1" s="121"/>
      <c r="G1" s="122"/>
    </row>
    <row r="2" spans="1:8" ht="9" customHeight="1" x14ac:dyDescent="0.25">
      <c r="A2" s="113"/>
      <c r="B2" s="113"/>
      <c r="C2" s="113"/>
      <c r="D2" s="113"/>
      <c r="E2" s="113"/>
      <c r="F2" s="113"/>
      <c r="G2" s="113"/>
    </row>
    <row r="3" spans="1:8" x14ac:dyDescent="0.25">
      <c r="A3" s="23"/>
      <c r="B3" s="26" t="s">
        <v>0</v>
      </c>
      <c r="C3" s="92" t="s">
        <v>5</v>
      </c>
      <c r="D3" s="93"/>
      <c r="E3" s="93"/>
      <c r="F3" s="93"/>
      <c r="G3" s="94"/>
    </row>
    <row r="4" spans="1:8" x14ac:dyDescent="0.25">
      <c r="A4" s="23"/>
      <c r="B4" s="23"/>
      <c r="C4" s="26" t="s">
        <v>6</v>
      </c>
      <c r="D4" s="26" t="s">
        <v>7</v>
      </c>
      <c r="E4" s="26" t="s">
        <v>8</v>
      </c>
      <c r="F4" s="26" t="s">
        <v>9</v>
      </c>
      <c r="G4" s="32" t="s">
        <v>10</v>
      </c>
    </row>
    <row r="5" spans="1:8" ht="18.75" x14ac:dyDescent="0.3">
      <c r="A5" s="52" t="s">
        <v>18</v>
      </c>
      <c r="B5" s="16"/>
      <c r="C5" s="16"/>
      <c r="D5" s="16"/>
      <c r="E5" s="16"/>
      <c r="F5" s="16"/>
      <c r="G5" s="16"/>
    </row>
    <row r="6" spans="1:8" ht="20.100000000000001" customHeight="1" x14ac:dyDescent="0.25">
      <c r="A6" s="23"/>
      <c r="B6" s="23" t="s">
        <v>2</v>
      </c>
      <c r="C6" s="70">
        <f>'Current Cost Structure'!B5</f>
        <v>10454184</v>
      </c>
      <c r="D6" s="70">
        <f>'Current Cost Structure'!C5</f>
        <v>10663267.68</v>
      </c>
      <c r="E6" s="70">
        <f>'Current Cost Structure'!D5</f>
        <v>10876533.033600001</v>
      </c>
      <c r="F6" s="70">
        <f>'Current Cost Structure'!E5</f>
        <v>11094063.694272</v>
      </c>
      <c r="G6" s="70">
        <f>'Current Cost Structure'!F5</f>
        <v>11315944.96815744</v>
      </c>
      <c r="H6" s="55"/>
    </row>
    <row r="7" spans="1:8" ht="20.100000000000001" customHeight="1" x14ac:dyDescent="0.25">
      <c r="A7" s="23"/>
      <c r="B7" s="61" t="s">
        <v>20</v>
      </c>
      <c r="C7" s="72">
        <f>'Current Cost Structure'!B24</f>
        <v>70352478.812804639</v>
      </c>
      <c r="D7" s="28"/>
      <c r="E7" s="28"/>
      <c r="F7" s="28"/>
      <c r="G7" s="28"/>
    </row>
    <row r="8" spans="1:8" ht="20.100000000000001" customHeight="1" x14ac:dyDescent="0.25">
      <c r="A8" s="23"/>
      <c r="B8" s="23" t="s">
        <v>4</v>
      </c>
      <c r="C8" s="70">
        <f>'Current Cost Structure'!B42</f>
        <v>415394470</v>
      </c>
      <c r="D8" s="70">
        <f>'Current Cost Structure'!C42</f>
        <v>423704604.10000002</v>
      </c>
      <c r="E8" s="70">
        <f>'Current Cost Structure'!D42</f>
        <v>432181008.22299999</v>
      </c>
      <c r="F8" s="70">
        <f>'Current Cost Structure'!E42</f>
        <v>440827009.78969002</v>
      </c>
      <c r="G8" s="70">
        <f>'Current Cost Structure'!F42</f>
        <v>449646002.8297807</v>
      </c>
    </row>
    <row r="9" spans="1:8" ht="20.100000000000001" customHeight="1" x14ac:dyDescent="0.25">
      <c r="A9" s="23"/>
      <c r="B9" s="61" t="s">
        <v>21</v>
      </c>
      <c r="C9" s="72">
        <f>'Current Cost Structure'!B44</f>
        <v>2188584719.1857882</v>
      </c>
      <c r="D9" s="28"/>
      <c r="E9" s="28"/>
      <c r="F9" s="28"/>
      <c r="G9" s="28"/>
    </row>
    <row r="10" spans="1:8" ht="20.100000000000001" customHeight="1" x14ac:dyDescent="0.25">
      <c r="A10" s="56" t="s">
        <v>139</v>
      </c>
      <c r="B10" s="79">
        <f>'Current Cost Structure'!B48</f>
        <v>2232105573.7552752</v>
      </c>
      <c r="C10" s="114"/>
      <c r="D10" s="115"/>
      <c r="E10" s="115"/>
      <c r="F10" s="115"/>
      <c r="G10" s="116"/>
    </row>
    <row r="11" spans="1:8" ht="18.75" customHeight="1" x14ac:dyDescent="0.25">
      <c r="A11" s="92"/>
      <c r="B11" s="93"/>
      <c r="C11" s="93"/>
      <c r="D11" s="93"/>
      <c r="E11" s="93"/>
      <c r="F11" s="93"/>
      <c r="G11" s="94"/>
    </row>
    <row r="12" spans="1:8" ht="18.75" x14ac:dyDescent="0.3">
      <c r="A12" s="52" t="s">
        <v>19</v>
      </c>
      <c r="B12" s="16"/>
      <c r="C12" s="16"/>
      <c r="D12" s="16"/>
      <c r="E12" s="16"/>
      <c r="F12" s="16"/>
      <c r="G12" s="17"/>
    </row>
    <row r="13" spans="1:8" ht="20.100000000000001" customHeight="1" x14ac:dyDescent="0.25">
      <c r="A13" s="23"/>
      <c r="B13" s="23" t="s">
        <v>2</v>
      </c>
      <c r="C13" s="70">
        <f>'Virtualized Cost Structure'!B20</f>
        <v>136863962.824</v>
      </c>
      <c r="D13" s="70">
        <f>'Virtualized Cost Structure'!C20</f>
        <v>17855921.617120001</v>
      </c>
      <c r="E13" s="70">
        <f>'Virtualized Cost Structure'!D20</f>
        <v>18345971.172521599</v>
      </c>
      <c r="F13" s="70">
        <f>'Virtualized Cost Structure'!E20</f>
        <v>18824424.252723008</v>
      </c>
      <c r="G13" s="70">
        <f>'Virtualized Cost Structure'!F20</f>
        <v>19316672.004230972</v>
      </c>
    </row>
    <row r="14" spans="1:8" ht="20.100000000000001" customHeight="1" x14ac:dyDescent="0.25">
      <c r="A14" s="23"/>
      <c r="B14" s="61" t="s">
        <v>20</v>
      </c>
      <c r="C14" s="72">
        <f>'Virtualized Cost Structure'!B22</f>
        <v>211206951.87059557</v>
      </c>
      <c r="D14" s="23"/>
      <c r="E14" s="23"/>
      <c r="F14" s="23"/>
      <c r="G14" s="23"/>
    </row>
    <row r="15" spans="1:8" ht="20.100000000000001" customHeight="1" x14ac:dyDescent="0.25">
      <c r="A15" s="23"/>
      <c r="B15" s="23" t="s">
        <v>4</v>
      </c>
      <c r="C15" s="70">
        <f>'Virtualized Cost Structure'!B41</f>
        <v>257103000</v>
      </c>
      <c r="D15" s="70">
        <f>'Virtualized Cost Structure'!C41</f>
        <v>262245060</v>
      </c>
      <c r="E15" s="70">
        <f>'Virtualized Cost Structure'!D41</f>
        <v>267489961.19999999</v>
      </c>
      <c r="F15" s="70">
        <f>'Virtualized Cost Structure'!E41</f>
        <v>272839760.42399997</v>
      </c>
      <c r="G15" s="70">
        <f>'Virtualized Cost Structure'!F41</f>
        <v>278296555.63247997</v>
      </c>
    </row>
    <row r="16" spans="1:8" ht="20.100000000000001" customHeight="1" x14ac:dyDescent="0.25">
      <c r="A16" s="23"/>
      <c r="B16" s="61" t="s">
        <v>21</v>
      </c>
      <c r="C16" s="72">
        <f>'Virtualized Cost Structure'!B43</f>
        <v>1337974337.25648</v>
      </c>
      <c r="D16" s="23"/>
      <c r="E16" s="23"/>
      <c r="F16" s="23"/>
      <c r="G16" s="23"/>
    </row>
    <row r="17" spans="1:7" ht="20.100000000000001" customHeight="1" x14ac:dyDescent="0.25">
      <c r="A17" s="57" t="s">
        <v>139</v>
      </c>
      <c r="B17" s="80">
        <f>'Virtualized Cost Structure'!B47</f>
        <v>1549181289.1270754</v>
      </c>
      <c r="C17" s="123"/>
      <c r="D17" s="124"/>
      <c r="E17" s="124"/>
      <c r="F17" s="124"/>
      <c r="G17" s="125"/>
    </row>
    <row r="18" spans="1:7" ht="18" customHeight="1" x14ac:dyDescent="0.25">
      <c r="A18" s="20"/>
      <c r="B18" s="21"/>
      <c r="C18" s="21"/>
      <c r="D18" s="21"/>
      <c r="E18" s="21"/>
      <c r="F18" s="21"/>
      <c r="G18" s="22"/>
    </row>
    <row r="19" spans="1:7" ht="15.75" x14ac:dyDescent="0.25">
      <c r="A19" s="118" t="s">
        <v>22</v>
      </c>
      <c r="B19" s="118"/>
      <c r="C19" s="81">
        <f>SUM(totalHardCostsCurrent-totalHardCostsYearsVirtualized)</f>
        <v>-140854473.05779094</v>
      </c>
      <c r="D19" s="21"/>
      <c r="E19" s="21"/>
      <c r="F19" s="21"/>
      <c r="G19" s="22"/>
    </row>
    <row r="20" spans="1:7" ht="15.75" x14ac:dyDescent="0.25">
      <c r="A20" s="119" t="s">
        <v>23</v>
      </c>
      <c r="B20" s="119"/>
      <c r="C20" s="82">
        <f>SUM(totalSoftCostsCurrent-totalSoftCostsYearsVirtualized)</f>
        <v>850610381.92930818</v>
      </c>
      <c r="D20" s="21"/>
      <c r="E20" s="21"/>
      <c r="F20" s="21"/>
      <c r="G20" s="22"/>
    </row>
    <row r="21" spans="1:7" ht="18.75" x14ac:dyDescent="0.3">
      <c r="A21" s="58"/>
      <c r="B21" s="59" t="s">
        <v>24</v>
      </c>
      <c r="C21" s="83">
        <f>SUM(netFiveYearHardCostSavings+netFiveYearSoftCostSavings)</f>
        <v>709755908.87151718</v>
      </c>
      <c r="D21" s="24"/>
      <c r="E21" s="24"/>
      <c r="F21" s="24"/>
      <c r="G21" s="25"/>
    </row>
    <row r="24" spans="1:7" x14ac:dyDescent="0.25">
      <c r="B24" s="30"/>
    </row>
  </sheetData>
  <mergeCells count="8">
    <mergeCell ref="A19:B19"/>
    <mergeCell ref="A20:B20"/>
    <mergeCell ref="A1:G1"/>
    <mergeCell ref="A11:G11"/>
    <mergeCell ref="A2:G2"/>
    <mergeCell ref="C3:G3"/>
    <mergeCell ref="C10:G10"/>
    <mergeCell ref="C17:G17"/>
  </mergeCells>
  <printOptions gridLines="1"/>
  <pageMargins left="0.7" right="0.48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169</vt:i4>
      </vt:variant>
    </vt:vector>
  </HeadingPairs>
  <TitlesOfParts>
    <vt:vector size="175" baseType="lpstr">
      <vt:lpstr>Constants</vt:lpstr>
      <vt:lpstr>Current - Variables</vt:lpstr>
      <vt:lpstr>Current Cost Structure</vt:lpstr>
      <vt:lpstr>Proposed - Variables</vt:lpstr>
      <vt:lpstr>Virtualized Cost Structure</vt:lpstr>
      <vt:lpstr>Project Cost Summary</vt:lpstr>
      <vt:lpstr>adminCostOnVirtualServer</vt:lpstr>
      <vt:lpstr>administrativeCostPerHourYear1</vt:lpstr>
      <vt:lpstr>administrativeRateIncrease</vt:lpstr>
      <vt:lpstr>backupTimeGroup1V</vt:lpstr>
      <vt:lpstr>backUpTimeGroup2V</vt:lpstr>
      <vt:lpstr>backUpTimeGroup3V</vt:lpstr>
      <vt:lpstr>backupTimeGroup4V</vt:lpstr>
      <vt:lpstr>costkwHYear1</vt:lpstr>
      <vt:lpstr>costNewGroup1Server</vt:lpstr>
      <vt:lpstr>costNewGroup2Server</vt:lpstr>
      <vt:lpstr>costNewGroup3Server</vt:lpstr>
      <vt:lpstr>costNewGroup4Server</vt:lpstr>
      <vt:lpstr>costUnitsGroup1</vt:lpstr>
      <vt:lpstr>costUnitsGroup2</vt:lpstr>
      <vt:lpstr>costUnitsGroup3</vt:lpstr>
      <vt:lpstr>costUnitsGroup4A</vt:lpstr>
      <vt:lpstr>costUnitsGroup4B</vt:lpstr>
      <vt:lpstr>dataStorageMonthlyChargeYears1And2</vt:lpstr>
      <vt:lpstr>dataStorageMonthlyChargeYears3Thru5</vt:lpstr>
      <vt:lpstr>daysInAYear</vt:lpstr>
      <vt:lpstr>empsTrainedYears1And2</vt:lpstr>
      <vt:lpstr>empsTrainedYears3Thru5</vt:lpstr>
      <vt:lpstr>hoursInADay</vt:lpstr>
      <vt:lpstr>hoursInARealDay</vt:lpstr>
      <vt:lpstr>hoursInAWeek</vt:lpstr>
      <vt:lpstr>hoursInAYear</vt:lpstr>
      <vt:lpstr>hoursPerBackupGroup1</vt:lpstr>
      <vt:lpstr>hoursPerBackupGroup2</vt:lpstr>
      <vt:lpstr>hoursPerBackupGroup3</vt:lpstr>
      <vt:lpstr>hoursPerBackupGroup4A</vt:lpstr>
      <vt:lpstr>hoursPerBackupGroup4B</vt:lpstr>
      <vt:lpstr>maintenanceCostYear1Group1</vt:lpstr>
      <vt:lpstr>maintenanceCostYear1Group2</vt:lpstr>
      <vt:lpstr>maintenanceCostYear1Group3</vt:lpstr>
      <vt:lpstr>maintenanceCostYear1Group4A</vt:lpstr>
      <vt:lpstr>maintenanceCostYear1Group4B</vt:lpstr>
      <vt:lpstr>monthsInAYear</vt:lpstr>
      <vt:lpstr>netFiveYearHardCostSavings</vt:lpstr>
      <vt:lpstr>netFiveYearOverallSavings</vt:lpstr>
      <vt:lpstr>netFiveYearSoftCostSavings</vt:lpstr>
      <vt:lpstr>newServerPowerGroup1</vt:lpstr>
      <vt:lpstr>newServerPowerGroup2</vt:lpstr>
      <vt:lpstr>newServerPowerGroup3</vt:lpstr>
      <vt:lpstr>newServerPowerGroup4</vt:lpstr>
      <vt:lpstr>numA</vt:lpstr>
      <vt:lpstr>numberOfBackUpsGroup1V</vt:lpstr>
      <vt:lpstr>numberOfBackUpsGroup2V</vt:lpstr>
      <vt:lpstr>numberOfBackUpsGroup3V</vt:lpstr>
      <vt:lpstr>numberOfBackUpsGroup4V</vt:lpstr>
      <vt:lpstr>numberOfBackupsPerYearGroup1</vt:lpstr>
      <vt:lpstr>numberOfBackupsPerYearGroup2</vt:lpstr>
      <vt:lpstr>numberOfBackupsPerYearGroup3</vt:lpstr>
      <vt:lpstr>numberOfBackupsPerYearGroup4A</vt:lpstr>
      <vt:lpstr>numberOfBackupsPerYearGroup4B</vt:lpstr>
      <vt:lpstr>numNewServersGroup1</vt:lpstr>
      <vt:lpstr>numNewServersGroup2</vt:lpstr>
      <vt:lpstr>numNewServersGroup3</vt:lpstr>
      <vt:lpstr>numNewServersGroup4</vt:lpstr>
      <vt:lpstr>numServersGroup1</vt:lpstr>
      <vt:lpstr>numServersGroup2</vt:lpstr>
      <vt:lpstr>numServersGroup3</vt:lpstr>
      <vt:lpstr>numServersGroup4A</vt:lpstr>
      <vt:lpstr>numServersGroup4B</vt:lpstr>
      <vt:lpstr>numVirtualServersGroup1</vt:lpstr>
      <vt:lpstr>numVirtualServersGroup2</vt:lpstr>
      <vt:lpstr>numVirtualServersGroup3</vt:lpstr>
      <vt:lpstr>numVirtualServersGroup4</vt:lpstr>
      <vt:lpstr>powerRateIncrease</vt:lpstr>
      <vt:lpstr>securityFirmMonthlyCharge</vt:lpstr>
      <vt:lpstr>serverLoadGroup1</vt:lpstr>
      <vt:lpstr>serverLoadGroup2</vt:lpstr>
      <vt:lpstr>serverLoadGroup3</vt:lpstr>
      <vt:lpstr>serverLoadGroup4A</vt:lpstr>
      <vt:lpstr>serverLoadGroup4B</vt:lpstr>
      <vt:lpstr>serverMaintenanceRateIncrease</vt:lpstr>
      <vt:lpstr>serverPowerGroup1</vt:lpstr>
      <vt:lpstr>serverPowerGroup2</vt:lpstr>
      <vt:lpstr>serverPowerGroup3</vt:lpstr>
      <vt:lpstr>serverPowerGroup4A</vt:lpstr>
      <vt:lpstr>serverPowerGroup4B</vt:lpstr>
      <vt:lpstr>subtotalForPowerYear1</vt:lpstr>
      <vt:lpstr>subtotalForPowerYear2</vt:lpstr>
      <vt:lpstr>subtotalForPowerYear3</vt:lpstr>
      <vt:lpstr>subtotalForPowerYear4</vt:lpstr>
      <vt:lpstr>subtotalForPowerYear5</vt:lpstr>
      <vt:lpstr>subtotalForServerMaintenanceYear1</vt:lpstr>
      <vt:lpstr>subtotalForServerMaintenanceYear2</vt:lpstr>
      <vt:lpstr>subtotalForServerMaintenanceYear3</vt:lpstr>
      <vt:lpstr>subtotalForServerMaintenanceYear4</vt:lpstr>
      <vt:lpstr>subtotalForServerMaintenanceYear5</vt:lpstr>
      <vt:lpstr>subtotalForTotalAdministrationCostYear1</vt:lpstr>
      <vt:lpstr>subtotalForTotalAdministrationCostYear2</vt:lpstr>
      <vt:lpstr>subtotalForTotalAdministrationCostYear3</vt:lpstr>
      <vt:lpstr>subtotalForTotalAdministrationCostYear4</vt:lpstr>
      <vt:lpstr>subtotalForTotalAdministrationCostYear5</vt:lpstr>
      <vt:lpstr>subtotalForTotalSeverBackupCostYear1</vt:lpstr>
      <vt:lpstr>subtotalForTotalSeverBackupCostYear2</vt:lpstr>
      <vt:lpstr>subtotalForTotalSeverBackupCostYear3</vt:lpstr>
      <vt:lpstr>subtotalForTotalSeverBackupCostYear4</vt:lpstr>
      <vt:lpstr>subtotalForTotalSeverBackupCostYear5</vt:lpstr>
      <vt:lpstr>subtotalTotalAdministrationCostPYear1</vt:lpstr>
      <vt:lpstr>subtotalTotalAdministrationCostPYear2</vt:lpstr>
      <vt:lpstr>subtotalTotalAdministrationCostPYear3</vt:lpstr>
      <vt:lpstr>subtotalTotalAdministrationCostPYear4</vt:lpstr>
      <vt:lpstr>subtotalTotalAdministrationCostPYear5</vt:lpstr>
      <vt:lpstr>subtotalTotalBackupCostPYear1</vt:lpstr>
      <vt:lpstr>subtotalTotalBackupCostPYear2</vt:lpstr>
      <vt:lpstr>subtotalTotalBackupCostPYear3</vt:lpstr>
      <vt:lpstr>subtotalTotalBackupCostPYear4</vt:lpstr>
      <vt:lpstr>subtotalTotalBackupCostPYear5</vt:lpstr>
      <vt:lpstr>total5YearCurrentCost</vt:lpstr>
      <vt:lpstr>totalHardCosts5YearsVirtualized</vt:lpstr>
      <vt:lpstr>totalHardCostsCurrent</vt:lpstr>
      <vt:lpstr>totalHardCostsYearsVirtualized</vt:lpstr>
      <vt:lpstr>totalMachinePurchases</vt:lpstr>
      <vt:lpstr>totalPowerCost5Years</vt:lpstr>
      <vt:lpstr>totalProposedProject</vt:lpstr>
      <vt:lpstr>totalSecurityAndArchivalCost5Years</vt:lpstr>
      <vt:lpstr>totalServerAdministrationCost5Year</vt:lpstr>
      <vt:lpstr>totalServerAdministrationCost5Years</vt:lpstr>
      <vt:lpstr>totalServerBackupCost5Years</vt:lpstr>
      <vt:lpstr>totalServerMaintenanceCost5Years</vt:lpstr>
      <vt:lpstr>totalSoftCosts5YearsVirtualized</vt:lpstr>
      <vt:lpstr>totalSoftCostsCurrent</vt:lpstr>
      <vt:lpstr>totalSoftCostsYearsVirtualized</vt:lpstr>
      <vt:lpstr>totalSoftwarePurchases</vt:lpstr>
      <vt:lpstr>totalYearlyCostYear1</vt:lpstr>
      <vt:lpstr>totalYearlyCostYear1P</vt:lpstr>
      <vt:lpstr>totalYearlyCostYear2</vt:lpstr>
      <vt:lpstr>totalYearlyCostYear2P</vt:lpstr>
      <vt:lpstr>totalYearlyCostYear3</vt:lpstr>
      <vt:lpstr>totalYearlyCostYear3P</vt:lpstr>
      <vt:lpstr>totalYearlyCostYear4</vt:lpstr>
      <vt:lpstr>totalYearlyCostYear4P</vt:lpstr>
      <vt:lpstr>totalYearlyCostYear5</vt:lpstr>
      <vt:lpstr>totalYearlyCostYear5P</vt:lpstr>
      <vt:lpstr>totalYearlyHardCosts</vt:lpstr>
      <vt:lpstr>totalYearlyHardCostYear1</vt:lpstr>
      <vt:lpstr>totalYearlyHardCostYear2</vt:lpstr>
      <vt:lpstr>totalYearlyHardCostYear3</vt:lpstr>
      <vt:lpstr>totalYearlyHardCostYear4</vt:lpstr>
      <vt:lpstr>totalYearlyHardCostYear5</vt:lpstr>
      <vt:lpstr>totalYearlySoftCosts</vt:lpstr>
      <vt:lpstr>totalYearlySoftCostsYear1</vt:lpstr>
      <vt:lpstr>totalYearlySoftCostsYear2</vt:lpstr>
      <vt:lpstr>totalYearlySoftCostsYear3</vt:lpstr>
      <vt:lpstr>totalYearlySoftCostsYear4</vt:lpstr>
      <vt:lpstr>totalYearlySoftCostsYear5</vt:lpstr>
      <vt:lpstr>totalYearlySoftCostYear1P</vt:lpstr>
      <vt:lpstr>totalYearlySoftCostYear2P</vt:lpstr>
      <vt:lpstr>totalYearlySoftCostYear3P</vt:lpstr>
      <vt:lpstr>totalYearlySoftCostYear4P</vt:lpstr>
      <vt:lpstr>totalYearlySoftCostYear5P</vt:lpstr>
      <vt:lpstr>trainingCostPerEmployee</vt:lpstr>
      <vt:lpstr>virtualizationSoftwareCost</vt:lpstr>
      <vt:lpstr>virtualizationSoftwareMaintenanceRate</vt:lpstr>
      <vt:lpstr>wattsInAKilowatt</vt:lpstr>
      <vt:lpstr>weeksAdministrativeTimeGroup1</vt:lpstr>
      <vt:lpstr>weeksAdministrativeTimeGroup2</vt:lpstr>
      <vt:lpstr>weeksAdministrativeTimeGroup3</vt:lpstr>
      <vt:lpstr>weeksAdministrativeTImeGroup4A</vt:lpstr>
      <vt:lpstr>weeksAdministrativeTImeGroup4B</vt:lpstr>
      <vt:lpstr>weeksAdminTimeNewServers</vt:lpstr>
      <vt:lpstr>weeksInAYear</vt:lpstr>
      <vt:lpstr>year1Group1ServerMaintenance</vt:lpstr>
      <vt:lpstr>year1Group2ServerMaintenance</vt:lpstr>
      <vt:lpstr>year1Group3ServerMaintenance</vt:lpstr>
      <vt:lpstr>year1Group4ServerMaintenance</vt:lpstr>
      <vt:lpstr>year1ServerMaintenanceContractPercentage</vt:lpstr>
    </vt:vector>
  </TitlesOfParts>
  <Company>UCF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Llewellyn</dc:creator>
  <cp:lastModifiedBy>Ryan Boscoe</cp:lastModifiedBy>
  <cp:lastPrinted>2011-02-16T20:17:28Z</cp:lastPrinted>
  <dcterms:created xsi:type="dcterms:W3CDTF">2011-02-02T19:28:52Z</dcterms:created>
  <dcterms:modified xsi:type="dcterms:W3CDTF">2025-02-09T23:48:14Z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34a74cea-304a-4334-977e-d4b8a99cf599</vt:lpwstr>
  </property>
</Properties>
</file>