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035" windowHeight="13095" activeTab="3"/>
  </bookViews>
  <sheets>
    <sheet name="Sheet1" sheetId="1" r:id="rId1"/>
    <sheet name="VTrip" sheetId="2" r:id="rId2"/>
    <sheet name="LEDS" sheetId="3" r:id="rId3"/>
    <sheet name="ITrip" sheetId="4" r:id="rId4"/>
    <sheet name="Fixed Point" sheetId="5" r:id="rId5"/>
  </sheets>
  <definedNames>
    <definedName name="Vcc">ITrip!$B$3</definedName>
  </definedNames>
  <calcPr calcId="125725"/>
</workbook>
</file>

<file path=xl/calcChain.xml><?xml version="1.0" encoding="utf-8"?>
<calcChain xmlns="http://schemas.openxmlformats.org/spreadsheetml/2006/main">
  <c r="B43" i="4"/>
  <c r="B42"/>
  <c r="B41"/>
  <c r="B40"/>
  <c r="E64" i="5"/>
  <c r="F64" s="1"/>
  <c r="E65"/>
  <c r="F65"/>
  <c r="E66"/>
  <c r="F66" s="1"/>
  <c r="E63"/>
  <c r="F63" s="1"/>
  <c r="F58"/>
  <c r="F59"/>
  <c r="F60"/>
  <c r="F57"/>
  <c r="E58"/>
  <c r="E59"/>
  <c r="E60"/>
  <c r="E57"/>
  <c r="AA33"/>
  <c r="AC33" s="1"/>
  <c r="AB33"/>
  <c r="AB32"/>
  <c r="AC32" s="1"/>
  <c r="AA32"/>
  <c r="C33"/>
  <c r="C34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32"/>
  <c r="AA15"/>
  <c r="AC15" s="1"/>
  <c r="AA16"/>
  <c r="AC16" s="1"/>
  <c r="AA17"/>
  <c r="AA14"/>
  <c r="AA23"/>
  <c r="AA24"/>
  <c r="AA25"/>
  <c r="AA22"/>
  <c r="V22"/>
  <c r="W22"/>
  <c r="X22"/>
  <c r="Y22"/>
  <c r="V23"/>
  <c r="W23"/>
  <c r="X23"/>
  <c r="Y23"/>
  <c r="V24"/>
  <c r="W24"/>
  <c r="X24"/>
  <c r="Y24"/>
  <c r="V25"/>
  <c r="W25"/>
  <c r="X25"/>
  <c r="Y25"/>
  <c r="Y21"/>
  <c r="X21"/>
  <c r="W21"/>
  <c r="V21"/>
  <c r="J23"/>
  <c r="K23"/>
  <c r="L23"/>
  <c r="M23"/>
  <c r="N23"/>
  <c r="O23"/>
  <c r="P23"/>
  <c r="Q23"/>
  <c r="R23"/>
  <c r="S23"/>
  <c r="T23"/>
  <c r="J24"/>
  <c r="K24"/>
  <c r="L24"/>
  <c r="M24"/>
  <c r="N24"/>
  <c r="O24"/>
  <c r="P24"/>
  <c r="Q24"/>
  <c r="R24"/>
  <c r="S24"/>
  <c r="T24"/>
  <c r="J25"/>
  <c r="K25"/>
  <c r="L25"/>
  <c r="M25"/>
  <c r="N25"/>
  <c r="O25"/>
  <c r="P25"/>
  <c r="Q25"/>
  <c r="R25"/>
  <c r="S25"/>
  <c r="T25"/>
  <c r="U24"/>
  <c r="U25"/>
  <c r="U23"/>
  <c r="U22"/>
  <c r="J22"/>
  <c r="K22"/>
  <c r="L22"/>
  <c r="M22"/>
  <c r="N22"/>
  <c r="O22"/>
  <c r="P22"/>
  <c r="Q22"/>
  <c r="R22"/>
  <c r="S22"/>
  <c r="T22"/>
  <c r="R21"/>
  <c r="Q21" s="1"/>
  <c r="P21" s="1"/>
  <c r="O21" s="1"/>
  <c r="N21" s="1"/>
  <c r="M21" s="1"/>
  <c r="L21" s="1"/>
  <c r="K21" s="1"/>
  <c r="J21" s="1"/>
  <c r="S21"/>
  <c r="T21"/>
  <c r="AE16"/>
  <c r="AE17" s="1"/>
  <c r="AE14"/>
  <c r="AE15"/>
  <c r="AB17"/>
  <c r="AC17" s="1"/>
  <c r="J17"/>
  <c r="K17"/>
  <c r="L17"/>
  <c r="M17"/>
  <c r="N17"/>
  <c r="O17"/>
  <c r="P17"/>
  <c r="Q17"/>
  <c r="R17"/>
  <c r="S17"/>
  <c r="T17"/>
  <c r="U17"/>
  <c r="V17"/>
  <c r="W17"/>
  <c r="X17"/>
  <c r="Y17"/>
  <c r="AB16"/>
  <c r="AB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AB14"/>
  <c r="AC14"/>
  <c r="AB3"/>
  <c r="AC3" s="1"/>
  <c r="AA3"/>
  <c r="AE9"/>
  <c r="AC9"/>
  <c r="AB9"/>
  <c r="AA9"/>
  <c r="AD3"/>
  <c r="U17" i="1"/>
  <c r="C10"/>
  <c r="J28" i="4"/>
  <c r="B34"/>
  <c r="B33"/>
  <c r="B29"/>
  <c r="B28"/>
  <c r="B27"/>
  <c r="B26"/>
  <c r="B15"/>
  <c r="B14"/>
  <c r="B13"/>
  <c r="B9"/>
  <c r="B6"/>
  <c r="B5"/>
  <c r="E6" i="3"/>
  <c r="E7"/>
  <c r="E5"/>
  <c r="D6"/>
  <c r="D7"/>
  <c r="D5"/>
  <c r="F14" i="2"/>
  <c r="D14"/>
  <c r="D15"/>
  <c r="D13"/>
  <c r="C11"/>
  <c r="C9"/>
  <c r="C8"/>
  <c r="C11" i="1"/>
  <c r="G11"/>
  <c r="F11"/>
  <c r="H11" s="1"/>
  <c r="E11"/>
  <c r="D11"/>
  <c r="C9"/>
  <c r="C8"/>
  <c r="H9"/>
  <c r="I9"/>
  <c r="O6"/>
  <c r="K12"/>
  <c r="K13"/>
  <c r="K14"/>
  <c r="K15"/>
  <c r="K16"/>
  <c r="K17"/>
  <c r="K18"/>
  <c r="K19"/>
  <c r="K20"/>
  <c r="K21"/>
  <c r="K22"/>
  <c r="K23"/>
  <c r="K24"/>
  <c r="K25"/>
  <c r="K26"/>
  <c r="K27"/>
  <c r="G27"/>
  <c r="F27"/>
  <c r="D27"/>
  <c r="I26"/>
  <c r="I25"/>
  <c r="G25"/>
  <c r="F25"/>
  <c r="D25"/>
  <c r="I24"/>
  <c r="G23"/>
  <c r="F23"/>
  <c r="I23" s="1"/>
  <c r="E23"/>
  <c r="E24" s="1"/>
  <c r="D23"/>
  <c r="H23" s="1"/>
  <c r="J23" s="1"/>
  <c r="I22"/>
  <c r="H22"/>
  <c r="J22" s="1"/>
  <c r="E18"/>
  <c r="E19" s="1"/>
  <c r="E20" s="1"/>
  <c r="I21"/>
  <c r="G21"/>
  <c r="F21"/>
  <c r="D21"/>
  <c r="I20"/>
  <c r="G19"/>
  <c r="F19"/>
  <c r="I19" s="1"/>
  <c r="D19"/>
  <c r="I18"/>
  <c r="H18"/>
  <c r="J18" s="1"/>
  <c r="I17"/>
  <c r="G17"/>
  <c r="F17"/>
  <c r="E17"/>
  <c r="D17"/>
  <c r="I16"/>
  <c r="H16"/>
  <c r="J16" s="1"/>
  <c r="H12"/>
  <c r="J12" s="1"/>
  <c r="I12"/>
  <c r="D13"/>
  <c r="E13"/>
  <c r="F13"/>
  <c r="G13"/>
  <c r="H13" s="1"/>
  <c r="J13" s="1"/>
  <c r="I13"/>
  <c r="H14"/>
  <c r="I14"/>
  <c r="J14"/>
  <c r="D15"/>
  <c r="I15" s="1"/>
  <c r="E15"/>
  <c r="F15"/>
  <c r="G15"/>
  <c r="H15" s="1"/>
  <c r="G10"/>
  <c r="F10"/>
  <c r="I10" s="1"/>
  <c r="E10"/>
  <c r="D10"/>
  <c r="N7"/>
  <c r="N6"/>
  <c r="M7"/>
  <c r="M6"/>
  <c r="E7"/>
  <c r="F7"/>
  <c r="G7"/>
  <c r="D7"/>
  <c r="H6"/>
  <c r="I6"/>
  <c r="H8"/>
  <c r="I8"/>
  <c r="J5"/>
  <c r="H5"/>
  <c r="I5"/>
  <c r="I11" l="1"/>
  <c r="J11" s="1"/>
  <c r="K11" s="1"/>
  <c r="J9"/>
  <c r="K9" s="1"/>
  <c r="H24"/>
  <c r="J24" s="1"/>
  <c r="E25"/>
  <c r="E26" s="1"/>
  <c r="I27"/>
  <c r="H20"/>
  <c r="J20" s="1"/>
  <c r="E21"/>
  <c r="H21" s="1"/>
  <c r="J21" s="1"/>
  <c r="H17"/>
  <c r="J17" s="1"/>
  <c r="H19"/>
  <c r="J19" s="1"/>
  <c r="J15"/>
  <c r="J8"/>
  <c r="K8" s="1"/>
  <c r="H10"/>
  <c r="J10" s="1"/>
  <c r="K10" s="1"/>
  <c r="H7"/>
  <c r="I7"/>
  <c r="J6"/>
  <c r="K6" s="1"/>
  <c r="L8" l="1"/>
  <c r="M8" s="1"/>
  <c r="H25"/>
  <c r="J25" s="1"/>
  <c r="E27"/>
  <c r="H27" s="1"/>
  <c r="J27" s="1"/>
  <c r="H26"/>
  <c r="J26" s="1"/>
  <c r="J7"/>
  <c r="K7" s="1"/>
</calcChain>
</file>

<file path=xl/sharedStrings.xml><?xml version="1.0" encoding="utf-8"?>
<sst xmlns="http://schemas.openxmlformats.org/spreadsheetml/2006/main" count="242" uniqueCount="89">
  <si>
    <t>R1</t>
  </si>
  <si>
    <t>R2</t>
  </si>
  <si>
    <t>Rf</t>
  </si>
  <si>
    <t>Rg</t>
  </si>
  <si>
    <t>V1</t>
  </si>
  <si>
    <t>V2</t>
  </si>
  <si>
    <t>http://en.wikipedia.org/wiki/Operational_amplifier_applications</t>
  </si>
  <si>
    <t>Vout</t>
  </si>
  <si>
    <t>Counts</t>
  </si>
  <si>
    <t>Note - connect V1 to +5V and V2 to battery voltage.</t>
  </si>
  <si>
    <t>Note 2 - multiply values by 10k.</t>
  </si>
  <si>
    <t>Use component values in grey area.</t>
  </si>
  <si>
    <t>-trip</t>
  </si>
  <si>
    <t>+ charge trip</t>
  </si>
  <si>
    <t>FSD</t>
  </si>
  <si>
    <t>Vref</t>
  </si>
  <si>
    <t>Fully charged</t>
  </si>
  <si>
    <t>Set point</t>
  </si>
  <si>
    <t>ADC</t>
  </si>
  <si>
    <t>Volts</t>
  </si>
  <si>
    <t>Red</t>
  </si>
  <si>
    <t>Green</t>
  </si>
  <si>
    <t>Blue</t>
  </si>
  <si>
    <t>Vf</t>
  </si>
  <si>
    <t>I</t>
  </si>
  <si>
    <t>Vcc</t>
  </si>
  <si>
    <t>V0</t>
  </si>
  <si>
    <t>Error</t>
  </si>
  <si>
    <t>Error counts</t>
  </si>
  <si>
    <t>mV per A</t>
  </si>
  <si>
    <t>mv per Count</t>
  </si>
  <si>
    <t>counts per A</t>
  </si>
  <si>
    <t>mA per count</t>
  </si>
  <si>
    <t>tMax</t>
  </si>
  <si>
    <t>mV per C</t>
  </si>
  <si>
    <t>Gain</t>
  </si>
  <si>
    <t>mv Per Count</t>
  </si>
  <si>
    <t>Counts per C</t>
  </si>
  <si>
    <t>Lower</t>
  </si>
  <si>
    <t>Upper</t>
  </si>
  <si>
    <t>Old Accu</t>
  </si>
  <si>
    <t>Accu * 15</t>
  </si>
  <si>
    <t>Accu * 15 + ADC</t>
  </si>
  <si>
    <t>(Accu * 15 + ADC)/16</t>
  </si>
  <si>
    <t>Carry 2</t>
  </si>
  <si>
    <t>Carry 4</t>
  </si>
  <si>
    <t>ADC as FP</t>
  </si>
  <si>
    <t>00D5</t>
  </si>
  <si>
    <t>006E</t>
  </si>
  <si>
    <t>Actual</t>
  </si>
  <si>
    <t>Converges to 06D1</t>
  </si>
  <si>
    <t>018F</t>
  </si>
  <si>
    <t>0135</t>
  </si>
  <si>
    <t>01E4</t>
  </si>
  <si>
    <t>0233</t>
  </si>
  <si>
    <t>027D</t>
  </si>
  <si>
    <t>02C3</t>
  </si>
  <si>
    <t xml:space="preserve"> </t>
  </si>
  <si>
    <t>T1Temp</t>
  </si>
  <si>
    <t>T2Temp</t>
  </si>
  <si>
    <t>Amps</t>
  </si>
  <si>
    <t>After initial (dummy) read.</t>
  </si>
  <si>
    <t>After first loop pass</t>
  </si>
  <si>
    <t>OVERFLOW!!!</t>
  </si>
  <si>
    <t>A</t>
  </si>
  <si>
    <t>B</t>
  </si>
  <si>
    <t>C</t>
  </si>
  <si>
    <t>D</t>
  </si>
  <si>
    <t>SWAPF</t>
  </si>
  <si>
    <t>HI,W</t>
  </si>
  <si>
    <t>HI</t>
  </si>
  <si>
    <t>LO</t>
  </si>
  <si>
    <t>W</t>
  </si>
  <si>
    <t>OVFLO</t>
  </si>
  <si>
    <t>MOVWF</t>
  </si>
  <si>
    <t>ANDLW</t>
  </si>
  <si>
    <t>H'0F'</t>
  </si>
  <si>
    <t>LO,W</t>
  </si>
  <si>
    <t>IORWF</t>
  </si>
  <si>
    <t>XORWF</t>
  </si>
  <si>
    <t>HI,F</t>
  </si>
  <si>
    <t>LO,F</t>
  </si>
  <si>
    <t>-</t>
  </si>
  <si>
    <t>H'F0'</t>
  </si>
  <si>
    <t>OVFLO,W</t>
  </si>
  <si>
    <t>CLRF</t>
  </si>
  <si>
    <t>secs at 50Hz</t>
  </si>
  <si>
    <t>mins</t>
  </si>
  <si>
    <t>hours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</si>
</sst>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1" applyAlignment="1" applyProtection="1"/>
    <xf numFmtId="0" fontId="0" fillId="2" borderId="0" xfId="0" applyFill="1"/>
    <xf numFmtId="0" fontId="0" fillId="0" borderId="0" xfId="0" quotePrefix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Fill="1" applyBorder="1"/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11" fontId="0" fillId="0" borderId="0" xfId="0" quotePrefix="1" applyNumberFormat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5" xfId="0" quotePrefix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66675</xdr:rowOff>
    </xdr:from>
    <xdr:to>
      <xdr:col>6</xdr:col>
      <xdr:colOff>419100</xdr:colOff>
      <xdr:row>39</xdr:row>
      <xdr:rowOff>66675</xdr:rowOff>
    </xdr:to>
    <xdr:pic>
      <xdr:nvPicPr>
        <xdr:cNvPr id="1025" name="Picture 1" descr="File:Op-Amp Differential Amplifier.sv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5210175"/>
          <a:ext cx="2857500" cy="190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n.wikipedia.org/wiki/Operational_amplifier_applica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27"/>
  <sheetViews>
    <sheetView topLeftCell="A5" workbookViewId="0">
      <selection activeCell="U18" sqref="U18"/>
    </sheetView>
  </sheetViews>
  <sheetFormatPr defaultRowHeight="15"/>
  <cols>
    <col min="8" max="8" width="9" hidden="1" customWidth="1"/>
    <col min="9" max="9" width="0" hidden="1" customWidth="1"/>
  </cols>
  <sheetData>
    <row r="2" spans="2:17">
      <c r="B2" s="1" t="s">
        <v>6</v>
      </c>
    </row>
    <row r="4" spans="2:17">
      <c r="B4" t="s">
        <v>4</v>
      </c>
      <c r="C4" t="s">
        <v>5</v>
      </c>
      <c r="D4" t="s">
        <v>0</v>
      </c>
      <c r="E4" t="s">
        <v>1</v>
      </c>
      <c r="F4" t="s">
        <v>2</v>
      </c>
      <c r="G4" t="s">
        <v>3</v>
      </c>
      <c r="J4" t="s">
        <v>7</v>
      </c>
      <c r="K4" t="s">
        <v>8</v>
      </c>
    </row>
    <row r="5" spans="2:17">
      <c r="B5">
        <v>5</v>
      </c>
      <c r="C5">
        <v>5</v>
      </c>
      <c r="D5">
        <v>1</v>
      </c>
      <c r="E5">
        <v>1</v>
      </c>
      <c r="F5">
        <v>1</v>
      </c>
      <c r="G5">
        <v>1</v>
      </c>
      <c r="H5">
        <f>((F5+D5)*G5)/((G5+E5)*D5)</f>
        <v>1</v>
      </c>
      <c r="I5">
        <f>F5/D5</f>
        <v>1</v>
      </c>
      <c r="J5">
        <f>H5*C5-I5*B5</f>
        <v>0</v>
      </c>
      <c r="Q5" t="s">
        <v>9</v>
      </c>
    </row>
    <row r="6" spans="2:17">
      <c r="B6">
        <v>5</v>
      </c>
      <c r="C6">
        <v>25.8</v>
      </c>
      <c r="D6">
        <v>0.53226240921398205</v>
      </c>
      <c r="E6">
        <v>4.6999119925540391</v>
      </c>
      <c r="F6">
        <v>1</v>
      </c>
      <c r="G6">
        <v>1</v>
      </c>
      <c r="H6">
        <f t="shared" ref="H6:H10" si="0">((F6+D6)*G6)/((G6+E6)*D6)</f>
        <v>0.50505561253726394</v>
      </c>
      <c r="I6">
        <f t="shared" ref="I6:I10" si="1">F6/D6</f>
        <v>1.8787725428078774</v>
      </c>
      <c r="J6">
        <f t="shared" ref="J6:J10" si="2">H6*C6-I6*B6</f>
        <v>3.6365720894220246</v>
      </c>
      <c r="K6">
        <f>J6*1024/5</f>
        <v>744.76996391363059</v>
      </c>
      <c r="M6">
        <f>C6/5.7</f>
        <v>4.5263157894736841</v>
      </c>
      <c r="N6">
        <f>M6*1024/5</f>
        <v>926.98947368421045</v>
      </c>
      <c r="O6">
        <f>N6-N7</f>
        <v>258.69473684210516</v>
      </c>
      <c r="Q6" t="s">
        <v>10</v>
      </c>
    </row>
    <row r="7" spans="2:17">
      <c r="B7">
        <v>5</v>
      </c>
      <c r="C7">
        <v>18.600000000000001</v>
      </c>
      <c r="D7">
        <f>D6</f>
        <v>0.53226240921398205</v>
      </c>
      <c r="E7">
        <f t="shared" ref="E7:G7" si="3">E6</f>
        <v>4.6999119925540391</v>
      </c>
      <c r="F7">
        <f t="shared" si="3"/>
        <v>1</v>
      </c>
      <c r="G7">
        <f t="shared" si="3"/>
        <v>1</v>
      </c>
      <c r="H7">
        <f t="shared" si="0"/>
        <v>0.50505561253726394</v>
      </c>
      <c r="I7">
        <f t="shared" si="1"/>
        <v>1.8787725428078774</v>
      </c>
      <c r="J7">
        <f t="shared" si="2"/>
        <v>1.7167915372340303E-4</v>
      </c>
      <c r="K7">
        <f>J7*1024/5</f>
        <v>3.5159890682552944E-2</v>
      </c>
      <c r="M7">
        <f>C7/5.7</f>
        <v>3.263157894736842</v>
      </c>
      <c r="N7">
        <f>M7*1024/5</f>
        <v>668.29473684210529</v>
      </c>
    </row>
    <row r="8" spans="2:17">
      <c r="B8" s="2">
        <v>5</v>
      </c>
      <c r="C8" s="2">
        <f>6*4.3</f>
        <v>25.799999999999997</v>
      </c>
      <c r="D8" s="2">
        <v>0.68</v>
      </c>
      <c r="E8" s="2">
        <v>4.7</v>
      </c>
      <c r="F8" s="2">
        <v>1</v>
      </c>
      <c r="G8" s="2">
        <v>1</v>
      </c>
      <c r="H8" s="2">
        <f t="shared" si="0"/>
        <v>0.43343653250773995</v>
      </c>
      <c r="I8" s="2">
        <f t="shared" si="1"/>
        <v>1.4705882352941175</v>
      </c>
      <c r="J8" s="2">
        <f t="shared" si="2"/>
        <v>3.829721362229102</v>
      </c>
      <c r="K8" s="2">
        <f t="shared" ref="K8:K27" si="4">J8*1024/5</f>
        <v>784.32693498452011</v>
      </c>
      <c r="L8">
        <f>K8-K10</f>
        <v>639.12817337461274</v>
      </c>
      <c r="M8">
        <f>L8/8</f>
        <v>79.891021671826593</v>
      </c>
      <c r="Q8" t="s">
        <v>11</v>
      </c>
    </row>
    <row r="9" spans="2:17">
      <c r="B9" s="2">
        <v>5</v>
      </c>
      <c r="C9" s="2">
        <f>6*4.2</f>
        <v>25.200000000000003</v>
      </c>
      <c r="D9" s="2">
        <v>0.68</v>
      </c>
      <c r="E9" s="2">
        <v>4.7</v>
      </c>
      <c r="F9" s="2">
        <v>1</v>
      </c>
      <c r="G9" s="2">
        <v>1</v>
      </c>
      <c r="H9" s="2">
        <f t="shared" ref="H9" si="5">((F9+D9)*G9)/((G9+E9)*D9)</f>
        <v>0.43343653250773995</v>
      </c>
      <c r="I9" s="2">
        <f t="shared" ref="I9" si="6">F9/D9</f>
        <v>1.4705882352941175</v>
      </c>
      <c r="J9" s="2">
        <f t="shared" ref="J9" si="7">H9*C9-I9*B9</f>
        <v>3.5696594427244603</v>
      </c>
      <c r="K9" s="2">
        <f t="shared" ref="K9" si="8">J9*1024/5</f>
        <v>731.0662538699695</v>
      </c>
    </row>
    <row r="10" spans="2:17">
      <c r="B10" s="2">
        <v>5</v>
      </c>
      <c r="C10" s="2">
        <f>6*3.1</f>
        <v>18.600000000000001</v>
      </c>
      <c r="D10" s="2">
        <f>D8</f>
        <v>0.68</v>
      </c>
      <c r="E10" s="2">
        <f t="shared" ref="E10:E11" si="9">E8</f>
        <v>4.7</v>
      </c>
      <c r="F10" s="2">
        <f t="shared" ref="F10:F11" si="10">F8</f>
        <v>1</v>
      </c>
      <c r="G10" s="2">
        <f t="shared" ref="G10:G11" si="11">G8</f>
        <v>1</v>
      </c>
      <c r="H10" s="2">
        <f t="shared" si="0"/>
        <v>0.43343653250773995</v>
      </c>
      <c r="I10" s="2">
        <f t="shared" si="1"/>
        <v>1.4705882352941175</v>
      </c>
      <c r="J10" s="2">
        <f t="shared" si="2"/>
        <v>0.70897832817337569</v>
      </c>
      <c r="K10" s="2">
        <f t="shared" si="4"/>
        <v>145.19876160990734</v>
      </c>
    </row>
    <row r="11" spans="2:17">
      <c r="B11" s="2">
        <v>5</v>
      </c>
      <c r="C11" s="2">
        <f>6*3</f>
        <v>18</v>
      </c>
      <c r="D11" s="2">
        <f>D9</f>
        <v>0.68</v>
      </c>
      <c r="E11" s="2">
        <f t="shared" si="9"/>
        <v>4.7</v>
      </c>
      <c r="F11" s="2">
        <f t="shared" si="10"/>
        <v>1</v>
      </c>
      <c r="G11" s="2">
        <f t="shared" si="11"/>
        <v>1</v>
      </c>
      <c r="H11" s="2">
        <f t="shared" ref="H11" si="12">((F11+D11)*G11)/((G11+E11)*D11)</f>
        <v>0.43343653250773995</v>
      </c>
      <c r="I11" s="2">
        <f t="shared" ref="I11" si="13">F11/D11</f>
        <v>1.4705882352941175</v>
      </c>
      <c r="J11" s="2">
        <f t="shared" ref="J11" si="14">H11*C11-I11*B11</f>
        <v>0.44891640866873139</v>
      </c>
      <c r="K11" s="2">
        <f t="shared" ref="K11" si="15">J11*1024/5</f>
        <v>91.938080495356189</v>
      </c>
    </row>
    <row r="12" spans="2:17">
      <c r="B12">
        <v>5</v>
      </c>
      <c r="C12">
        <v>25.8</v>
      </c>
      <c r="D12">
        <v>0.56000000000000005</v>
      </c>
      <c r="E12">
        <v>4.7</v>
      </c>
      <c r="F12">
        <v>1</v>
      </c>
      <c r="G12">
        <v>1</v>
      </c>
      <c r="H12">
        <f t="shared" ref="H12:H17" si="16">((F12+D12)*G12)/((G12+E12)*D12)</f>
        <v>0.48872180451127811</v>
      </c>
      <c r="I12">
        <f t="shared" ref="I12:I17" si="17">F12/D12</f>
        <v>1.7857142857142856</v>
      </c>
      <c r="J12">
        <f t="shared" ref="J12:J17" si="18">H12*C12-I12*B12</f>
        <v>3.6804511278195484</v>
      </c>
      <c r="K12">
        <f t="shared" si="4"/>
        <v>753.75639097744352</v>
      </c>
    </row>
    <row r="13" spans="2:17">
      <c r="B13">
        <v>5</v>
      </c>
      <c r="C13">
        <v>18.600000000000001</v>
      </c>
      <c r="D13">
        <f t="shared" ref="D13" si="19">D12</f>
        <v>0.56000000000000005</v>
      </c>
      <c r="E13">
        <f t="shared" ref="E13" si="20">E12</f>
        <v>4.7</v>
      </c>
      <c r="F13">
        <f t="shared" ref="F13" si="21">F12</f>
        <v>1</v>
      </c>
      <c r="G13">
        <f t="shared" ref="G13" si="22">G12</f>
        <v>1</v>
      </c>
      <c r="H13">
        <f t="shared" si="16"/>
        <v>0.48872180451127811</v>
      </c>
      <c r="I13">
        <f t="shared" si="17"/>
        <v>1.7857142857142856</v>
      </c>
      <c r="J13">
        <f t="shared" si="18"/>
        <v>0.16165413533834716</v>
      </c>
      <c r="K13">
        <f t="shared" si="4"/>
        <v>33.106766917293498</v>
      </c>
    </row>
    <row r="14" spans="2:17">
      <c r="B14">
        <v>5</v>
      </c>
      <c r="C14">
        <v>25.8</v>
      </c>
      <c r="D14">
        <v>0.47</v>
      </c>
      <c r="E14">
        <v>4.7</v>
      </c>
      <c r="F14">
        <v>1</v>
      </c>
      <c r="G14">
        <v>1</v>
      </c>
      <c r="H14">
        <f t="shared" si="16"/>
        <v>0.54871220604703252</v>
      </c>
      <c r="I14">
        <f t="shared" si="17"/>
        <v>2.1276595744680851</v>
      </c>
      <c r="J14">
        <f t="shared" si="18"/>
        <v>3.5184770436730144</v>
      </c>
      <c r="K14">
        <f t="shared" si="4"/>
        <v>720.58409854423337</v>
      </c>
    </row>
    <row r="15" spans="2:17">
      <c r="B15">
        <v>5</v>
      </c>
      <c r="C15">
        <v>18.600000000000001</v>
      </c>
      <c r="D15">
        <f t="shared" ref="D15" si="23">D14</f>
        <v>0.47</v>
      </c>
      <c r="E15">
        <f t="shared" ref="E15" si="24">E14</f>
        <v>4.7</v>
      </c>
      <c r="F15">
        <f t="shared" ref="F15" si="25">F14</f>
        <v>1</v>
      </c>
      <c r="G15">
        <f t="shared" ref="G15" si="26">G14</f>
        <v>1</v>
      </c>
      <c r="H15">
        <f t="shared" si="16"/>
        <v>0.54871220604703252</v>
      </c>
      <c r="I15">
        <f t="shared" si="17"/>
        <v>2.1276595744680851</v>
      </c>
      <c r="J15">
        <f t="shared" si="18"/>
        <v>-0.43225083986562041</v>
      </c>
      <c r="K15">
        <f t="shared" si="4"/>
        <v>-88.524972004479054</v>
      </c>
    </row>
    <row r="16" spans="2:17">
      <c r="B16">
        <v>5</v>
      </c>
      <c r="C16">
        <v>25.8</v>
      </c>
      <c r="D16">
        <v>0.68</v>
      </c>
      <c r="E16">
        <v>3.9</v>
      </c>
      <c r="F16">
        <v>1</v>
      </c>
      <c r="G16">
        <v>1</v>
      </c>
      <c r="H16">
        <f t="shared" si="16"/>
        <v>0.50420168067226889</v>
      </c>
      <c r="I16">
        <f t="shared" si="17"/>
        <v>1.4705882352941175</v>
      </c>
      <c r="J16">
        <f t="shared" si="18"/>
        <v>5.6554621848739499</v>
      </c>
      <c r="K16">
        <f t="shared" si="4"/>
        <v>1158.2386554621849</v>
      </c>
    </row>
    <row r="17" spans="2:21">
      <c r="B17">
        <v>5</v>
      </c>
      <c r="C17">
        <v>18.600000000000001</v>
      </c>
      <c r="D17">
        <f>D16</f>
        <v>0.68</v>
      </c>
      <c r="E17">
        <f t="shared" ref="E17:E21" si="27">E16</f>
        <v>3.9</v>
      </c>
      <c r="F17">
        <f t="shared" ref="F17" si="28">F16</f>
        <v>1</v>
      </c>
      <c r="G17">
        <f t="shared" ref="G17" si="29">G16</f>
        <v>1</v>
      </c>
      <c r="H17">
        <f t="shared" si="16"/>
        <v>0.50420168067226889</v>
      </c>
      <c r="I17">
        <f t="shared" si="17"/>
        <v>1.4705882352941175</v>
      </c>
      <c r="J17">
        <f t="shared" si="18"/>
        <v>2.0252100840336142</v>
      </c>
      <c r="K17">
        <f t="shared" si="4"/>
        <v>414.76302521008421</v>
      </c>
      <c r="T17">
        <v>3.2</v>
      </c>
      <c r="U17">
        <f>T17*1024/5</f>
        <v>655.36</v>
      </c>
    </row>
    <row r="18" spans="2:21">
      <c r="B18">
        <v>5</v>
      </c>
      <c r="C18">
        <v>25.8</v>
      </c>
      <c r="D18">
        <v>0.56000000000000005</v>
      </c>
      <c r="E18">
        <f t="shared" si="27"/>
        <v>3.9</v>
      </c>
      <c r="F18">
        <v>1</v>
      </c>
      <c r="G18">
        <v>1</v>
      </c>
      <c r="H18">
        <f t="shared" ref="H18:H23" si="30">((F18+D18)*G18)/((G18+E18)*D18)</f>
        <v>0.56851311953352757</v>
      </c>
      <c r="I18">
        <f t="shared" ref="I18:I23" si="31">F18/D18</f>
        <v>1.7857142857142856</v>
      </c>
      <c r="J18">
        <f t="shared" ref="J18:J23" si="32">H18*C18-I18*B18</f>
        <v>5.7390670553935852</v>
      </c>
      <c r="K18">
        <f t="shared" si="4"/>
        <v>1175.3609329446062</v>
      </c>
    </row>
    <row r="19" spans="2:21">
      <c r="B19">
        <v>5</v>
      </c>
      <c r="C19">
        <v>18.600000000000001</v>
      </c>
      <c r="D19">
        <f t="shared" ref="D19" si="33">D18</f>
        <v>0.56000000000000005</v>
      </c>
      <c r="E19">
        <f t="shared" si="27"/>
        <v>3.9</v>
      </c>
      <c r="F19">
        <f t="shared" ref="F19" si="34">F18</f>
        <v>1</v>
      </c>
      <c r="G19">
        <f t="shared" ref="G19" si="35">G18</f>
        <v>1</v>
      </c>
      <c r="H19">
        <f t="shared" si="30"/>
        <v>0.56851311953352757</v>
      </c>
      <c r="I19">
        <f t="shared" si="31"/>
        <v>1.7857142857142856</v>
      </c>
      <c r="J19">
        <f t="shared" si="32"/>
        <v>1.6457725947521862</v>
      </c>
      <c r="K19">
        <f t="shared" si="4"/>
        <v>337.05422740524773</v>
      </c>
    </row>
    <row r="20" spans="2:21">
      <c r="B20">
        <v>5</v>
      </c>
      <c r="C20">
        <v>25.8</v>
      </c>
      <c r="D20">
        <v>0.47</v>
      </c>
      <c r="E20">
        <f t="shared" si="27"/>
        <v>3.9</v>
      </c>
      <c r="F20">
        <v>1</v>
      </c>
      <c r="G20">
        <v>1</v>
      </c>
      <c r="H20">
        <f t="shared" si="30"/>
        <v>0.63829787234042556</v>
      </c>
      <c r="I20">
        <f t="shared" si="31"/>
        <v>2.1276595744680851</v>
      </c>
      <c r="J20">
        <f t="shared" si="32"/>
        <v>5.8297872340425538</v>
      </c>
      <c r="K20">
        <f t="shared" si="4"/>
        <v>1193.940425531915</v>
      </c>
    </row>
    <row r="21" spans="2:21">
      <c r="B21">
        <v>5</v>
      </c>
      <c r="C21">
        <v>18.600000000000001</v>
      </c>
      <c r="D21">
        <f t="shared" ref="D21" si="36">D20</f>
        <v>0.47</v>
      </c>
      <c r="E21">
        <f t="shared" si="27"/>
        <v>3.9</v>
      </c>
      <c r="F21">
        <f t="shared" ref="F21" si="37">F20</f>
        <v>1</v>
      </c>
      <c r="G21">
        <f t="shared" ref="G21" si="38">G20</f>
        <v>1</v>
      </c>
      <c r="H21">
        <f t="shared" si="30"/>
        <v>0.63829787234042556</v>
      </c>
      <c r="I21">
        <f t="shared" si="31"/>
        <v>2.1276595744680851</v>
      </c>
      <c r="J21">
        <f t="shared" si="32"/>
        <v>1.2340425531914914</v>
      </c>
      <c r="K21">
        <f t="shared" si="4"/>
        <v>252.73191489361744</v>
      </c>
    </row>
    <row r="22" spans="2:21">
      <c r="B22">
        <v>5</v>
      </c>
      <c r="C22">
        <v>25.8</v>
      </c>
      <c r="D22">
        <v>0.68</v>
      </c>
      <c r="E22">
        <v>5.6</v>
      </c>
      <c r="F22">
        <v>1</v>
      </c>
      <c r="G22">
        <v>1</v>
      </c>
      <c r="H22">
        <f t="shared" si="30"/>
        <v>0.37433155080213903</v>
      </c>
      <c r="I22">
        <f t="shared" si="31"/>
        <v>1.4705882352941175</v>
      </c>
      <c r="J22">
        <f t="shared" si="32"/>
        <v>2.3048128342245997</v>
      </c>
      <c r="K22">
        <f t="shared" si="4"/>
        <v>472.02566844919801</v>
      </c>
    </row>
    <row r="23" spans="2:21">
      <c r="B23">
        <v>5</v>
      </c>
      <c r="C23">
        <v>18.600000000000001</v>
      </c>
      <c r="D23">
        <f>D22</f>
        <v>0.68</v>
      </c>
      <c r="E23">
        <f t="shared" ref="E23:E27" si="39">E22</f>
        <v>5.6</v>
      </c>
      <c r="F23">
        <f t="shared" ref="F23" si="40">F22</f>
        <v>1</v>
      </c>
      <c r="G23">
        <f t="shared" ref="G23" si="41">G22</f>
        <v>1</v>
      </c>
      <c r="H23">
        <f t="shared" si="30"/>
        <v>0.37433155080213903</v>
      </c>
      <c r="I23">
        <f t="shared" si="31"/>
        <v>1.4705882352941175</v>
      </c>
      <c r="J23">
        <f t="shared" si="32"/>
        <v>-0.39037433155080148</v>
      </c>
      <c r="K23">
        <f t="shared" si="4"/>
        <v>-79.94866310160414</v>
      </c>
    </row>
    <row r="24" spans="2:21">
      <c r="B24">
        <v>5</v>
      </c>
      <c r="C24">
        <v>25.8</v>
      </c>
      <c r="D24">
        <v>0.56000000000000005</v>
      </c>
      <c r="E24">
        <f t="shared" si="39"/>
        <v>5.6</v>
      </c>
      <c r="F24">
        <v>1</v>
      </c>
      <c r="G24">
        <v>1</v>
      </c>
      <c r="H24">
        <f t="shared" ref="H24:H27" si="42">((F24+D24)*G24)/((G24+E24)*D24)</f>
        <v>0.42207792207792205</v>
      </c>
      <c r="I24">
        <f t="shared" ref="I24:I27" si="43">F24/D24</f>
        <v>1.7857142857142856</v>
      </c>
      <c r="J24">
        <f t="shared" ref="J24:J27" si="44">H24*C24-I24*B24</f>
        <v>1.9610389610389625</v>
      </c>
      <c r="K24">
        <f t="shared" si="4"/>
        <v>401.62077922077953</v>
      </c>
    </row>
    <row r="25" spans="2:21">
      <c r="B25">
        <v>5</v>
      </c>
      <c r="C25">
        <v>18.600000000000001</v>
      </c>
      <c r="D25">
        <f t="shared" ref="D25" si="45">D24</f>
        <v>0.56000000000000005</v>
      </c>
      <c r="E25">
        <f t="shared" si="39"/>
        <v>5.6</v>
      </c>
      <c r="F25">
        <f t="shared" ref="F25" si="46">F24</f>
        <v>1</v>
      </c>
      <c r="G25">
        <f t="shared" ref="G25" si="47">G24</f>
        <v>1</v>
      </c>
      <c r="H25">
        <f t="shared" si="42"/>
        <v>0.42207792207792205</v>
      </c>
      <c r="I25">
        <f t="shared" si="43"/>
        <v>1.7857142857142856</v>
      </c>
      <c r="J25">
        <f t="shared" si="44"/>
        <v>-1.0779220779220759</v>
      </c>
      <c r="K25">
        <f t="shared" si="4"/>
        <v>-220.75844155844115</v>
      </c>
    </row>
    <row r="26" spans="2:21">
      <c r="B26">
        <v>5</v>
      </c>
      <c r="C26">
        <v>25.8</v>
      </c>
      <c r="D26">
        <v>0.47</v>
      </c>
      <c r="E26">
        <f t="shared" si="39"/>
        <v>5.6</v>
      </c>
      <c r="F26">
        <v>1</v>
      </c>
      <c r="G26">
        <v>1</v>
      </c>
      <c r="H26">
        <f t="shared" si="42"/>
        <v>0.47388781431334626</v>
      </c>
      <c r="I26">
        <f t="shared" si="43"/>
        <v>2.1276595744680851</v>
      </c>
      <c r="J26">
        <f t="shared" si="44"/>
        <v>1.5880077369439078</v>
      </c>
      <c r="K26">
        <f t="shared" si="4"/>
        <v>325.2239845261123</v>
      </c>
    </row>
    <row r="27" spans="2:21">
      <c r="B27">
        <v>5</v>
      </c>
      <c r="C27">
        <v>18.600000000000001</v>
      </c>
      <c r="D27">
        <f t="shared" ref="D27" si="48">D26</f>
        <v>0.47</v>
      </c>
      <c r="E27">
        <f t="shared" si="39"/>
        <v>5.6</v>
      </c>
      <c r="F27">
        <f t="shared" ref="F27" si="49">F26</f>
        <v>1</v>
      </c>
      <c r="G27">
        <f t="shared" ref="G27" si="50">G26</f>
        <v>1</v>
      </c>
      <c r="H27">
        <f t="shared" si="42"/>
        <v>0.47388781431334626</v>
      </c>
      <c r="I27">
        <f t="shared" si="43"/>
        <v>2.1276595744680851</v>
      </c>
      <c r="J27">
        <f t="shared" si="44"/>
        <v>-1.8239845261121843</v>
      </c>
      <c r="K27">
        <f t="shared" si="4"/>
        <v>-373.55203094777534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5"/>
  <sheetViews>
    <sheetView topLeftCell="A5" workbookViewId="0">
      <selection activeCell="B12" sqref="B12:D15"/>
    </sheetView>
  </sheetViews>
  <sheetFormatPr defaultRowHeight="15"/>
  <cols>
    <col min="2" max="2" width="18.85546875" customWidth="1"/>
  </cols>
  <sheetData>
    <row r="2" spans="1:6">
      <c r="A2" t="s">
        <v>14</v>
      </c>
      <c r="B2">
        <v>26</v>
      </c>
    </row>
    <row r="3" spans="1:6">
      <c r="A3" t="s">
        <v>15</v>
      </c>
      <c r="B3">
        <v>5</v>
      </c>
    </row>
    <row r="6" spans="1:6">
      <c r="B6" t="s">
        <v>0</v>
      </c>
      <c r="C6">
        <v>4.7</v>
      </c>
    </row>
    <row r="7" spans="1:6">
      <c r="B7" t="s">
        <v>1</v>
      </c>
      <c r="C7">
        <v>1</v>
      </c>
    </row>
    <row r="8" spans="1:6">
      <c r="C8">
        <f>C7/(C7+C6)</f>
        <v>0.17543859649122806</v>
      </c>
    </row>
    <row r="9" spans="1:6">
      <c r="C9">
        <f>C8*B2</f>
        <v>4.5614035087719298</v>
      </c>
    </row>
    <row r="11" spans="1:6">
      <c r="C11">
        <f>B3/C8</f>
        <v>28.5</v>
      </c>
    </row>
    <row r="12" spans="1:6">
      <c r="B12" t="s">
        <v>17</v>
      </c>
      <c r="C12" t="s">
        <v>19</v>
      </c>
      <c r="D12" t="s">
        <v>18</v>
      </c>
    </row>
    <row r="13" spans="1:6">
      <c r="B13" s="3" t="s">
        <v>13</v>
      </c>
      <c r="C13">
        <v>25.8</v>
      </c>
      <c r="D13">
        <f>C13/C$11*1024</f>
        <v>926.98947368421057</v>
      </c>
    </row>
    <row r="14" spans="1:6">
      <c r="B14" t="s">
        <v>16</v>
      </c>
      <c r="C14">
        <v>25.2</v>
      </c>
      <c r="D14">
        <f>C14/C$11*1024</f>
        <v>905.43157894736839</v>
      </c>
      <c r="F14">
        <f>D14-D15</f>
        <v>237.1368421052631</v>
      </c>
    </row>
    <row r="15" spans="1:6">
      <c r="B15" s="3" t="s">
        <v>12</v>
      </c>
      <c r="C15">
        <v>18.600000000000001</v>
      </c>
      <c r="D15">
        <f>C15/C$11*1024</f>
        <v>668.29473684210529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E7"/>
  <sheetViews>
    <sheetView workbookViewId="0">
      <selection activeCell="M4" sqref="M4"/>
    </sheetView>
  </sheetViews>
  <sheetFormatPr defaultRowHeight="15"/>
  <sheetData>
    <row r="4" spans="1:5">
      <c r="B4" t="s">
        <v>23</v>
      </c>
      <c r="C4" t="s">
        <v>24</v>
      </c>
    </row>
    <row r="5" spans="1:5">
      <c r="A5" t="s">
        <v>20</v>
      </c>
      <c r="B5">
        <v>2</v>
      </c>
      <c r="C5">
        <v>20</v>
      </c>
      <c r="D5">
        <f>5-B5</f>
        <v>3</v>
      </c>
      <c r="E5">
        <f>D5/(C5/1000)</f>
        <v>150</v>
      </c>
    </row>
    <row r="6" spans="1:5">
      <c r="A6" t="s">
        <v>21</v>
      </c>
      <c r="B6">
        <v>2.2000000000000002</v>
      </c>
      <c r="C6">
        <v>20</v>
      </c>
      <c r="D6">
        <f t="shared" ref="D6:D7" si="0">5-B6</f>
        <v>2.8</v>
      </c>
      <c r="E6">
        <f t="shared" ref="E6:E7" si="1">D6/(C6/1000)</f>
        <v>140</v>
      </c>
    </row>
    <row r="7" spans="1:5">
      <c r="A7" t="s">
        <v>22</v>
      </c>
      <c r="B7">
        <v>3.5</v>
      </c>
      <c r="C7">
        <v>20</v>
      </c>
      <c r="D7">
        <f t="shared" si="0"/>
        <v>1.5</v>
      </c>
      <c r="E7">
        <f t="shared" si="1"/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J43"/>
  <sheetViews>
    <sheetView tabSelected="1" topLeftCell="A4" workbookViewId="0">
      <selection activeCell="B46" sqref="B46"/>
    </sheetView>
  </sheetViews>
  <sheetFormatPr defaultRowHeight="15"/>
  <cols>
    <col min="1" max="1" width="14" customWidth="1"/>
  </cols>
  <sheetData>
    <row r="3" spans="1:10">
      <c r="A3" t="s">
        <v>25</v>
      </c>
      <c r="B3">
        <v>5</v>
      </c>
    </row>
    <row r="5" spans="1:10">
      <c r="A5" t="s">
        <v>26</v>
      </c>
      <c r="B5">
        <f>Vcc * 0.1</f>
        <v>0.5</v>
      </c>
    </row>
    <row r="6" spans="1:10">
      <c r="B6">
        <f>B5 / Vcc* 1024</f>
        <v>102.4</v>
      </c>
    </row>
    <row r="8" spans="1:10">
      <c r="A8" t="s">
        <v>27</v>
      </c>
      <c r="B8" s="4">
        <v>1.4999999999999999E-2</v>
      </c>
    </row>
    <row r="9" spans="1:10">
      <c r="A9" t="s">
        <v>28</v>
      </c>
      <c r="B9">
        <f>B8*1024</f>
        <v>15.36</v>
      </c>
      <c r="I9">
        <v>63</v>
      </c>
      <c r="J9">
        <v>99</v>
      </c>
    </row>
    <row r="10" spans="1:10">
      <c r="I10">
        <v>66</v>
      </c>
      <c r="J10">
        <v>102</v>
      </c>
    </row>
    <row r="11" spans="1:10">
      <c r="I11">
        <v>65</v>
      </c>
      <c r="J11">
        <v>101</v>
      </c>
    </row>
    <row r="12" spans="1:10">
      <c r="A12" t="s">
        <v>29</v>
      </c>
      <c r="B12">
        <v>185</v>
      </c>
      <c r="I12">
        <v>65</v>
      </c>
      <c r="J12">
        <v>101</v>
      </c>
    </row>
    <row r="13" spans="1:10">
      <c r="A13" t="s">
        <v>30</v>
      </c>
      <c r="B13">
        <f>5 * 1000/1024</f>
        <v>4.8828125</v>
      </c>
      <c r="I13">
        <v>65</v>
      </c>
      <c r="J13">
        <v>101</v>
      </c>
    </row>
    <row r="14" spans="1:10">
      <c r="A14" t="s">
        <v>31</v>
      </c>
      <c r="B14">
        <f>B12/B13</f>
        <v>37.887999999999998</v>
      </c>
      <c r="I14">
        <v>66</v>
      </c>
      <c r="J14">
        <v>102</v>
      </c>
    </row>
    <row r="15" spans="1:10">
      <c r="A15" t="s">
        <v>32</v>
      </c>
      <c r="B15">
        <f>1000/B14</f>
        <v>26.393581081081081</v>
      </c>
      <c r="I15">
        <v>67</v>
      </c>
      <c r="J15">
        <v>103</v>
      </c>
    </row>
    <row r="16" spans="1:10">
      <c r="I16">
        <v>66</v>
      </c>
      <c r="J16">
        <v>102</v>
      </c>
    </row>
    <row r="17" spans="1:10">
      <c r="I17">
        <v>66</v>
      </c>
      <c r="J17">
        <v>102</v>
      </c>
    </row>
    <row r="18" spans="1:10">
      <c r="I18">
        <v>64</v>
      </c>
      <c r="J18">
        <v>100</v>
      </c>
    </row>
    <row r="19" spans="1:10">
      <c r="I19">
        <v>64</v>
      </c>
      <c r="J19">
        <v>100</v>
      </c>
    </row>
    <row r="20" spans="1:10">
      <c r="I20">
        <v>64</v>
      </c>
      <c r="J20">
        <v>100</v>
      </c>
    </row>
    <row r="21" spans="1:10">
      <c r="A21" t="s">
        <v>33</v>
      </c>
      <c r="B21">
        <v>60</v>
      </c>
      <c r="I21">
        <v>64</v>
      </c>
      <c r="J21">
        <v>100</v>
      </c>
    </row>
    <row r="22" spans="1:10">
      <c r="A22" t="s">
        <v>34</v>
      </c>
      <c r="B22">
        <v>10</v>
      </c>
      <c r="I22">
        <v>68</v>
      </c>
      <c r="J22">
        <v>104</v>
      </c>
    </row>
    <row r="23" spans="1:10">
      <c r="I23">
        <v>65</v>
      </c>
      <c r="J23">
        <v>101</v>
      </c>
    </row>
    <row r="24" spans="1:10">
      <c r="A24" t="s">
        <v>0</v>
      </c>
      <c r="B24">
        <v>1</v>
      </c>
      <c r="I24">
        <v>66</v>
      </c>
      <c r="J24">
        <v>102</v>
      </c>
    </row>
    <row r="25" spans="1:10">
      <c r="A25" t="s">
        <v>1</v>
      </c>
      <c r="B25">
        <v>4.7</v>
      </c>
      <c r="I25">
        <v>64</v>
      </c>
      <c r="J25">
        <v>100</v>
      </c>
    </row>
    <row r="26" spans="1:10">
      <c r="A26" t="s">
        <v>35</v>
      </c>
      <c r="B26">
        <f>1+(B25/B24)</f>
        <v>5.7</v>
      </c>
      <c r="I26">
        <v>66</v>
      </c>
      <c r="J26">
        <v>102</v>
      </c>
    </row>
    <row r="27" spans="1:10">
      <c r="A27" t="s">
        <v>34</v>
      </c>
      <c r="B27">
        <f>B26*B22</f>
        <v>57</v>
      </c>
    </row>
    <row r="28" spans="1:10">
      <c r="A28" t="s">
        <v>36</v>
      </c>
      <c r="B28">
        <f>5*1000/1024</f>
        <v>4.8828125</v>
      </c>
      <c r="J28">
        <f>AVERAGE(J9:J26)</f>
        <v>101.22222222222223</v>
      </c>
    </row>
    <row r="29" spans="1:10">
      <c r="A29" t="s">
        <v>37</v>
      </c>
      <c r="B29">
        <f>B27/B28</f>
        <v>11.6736</v>
      </c>
    </row>
    <row r="31" spans="1:10">
      <c r="A31" t="s">
        <v>38</v>
      </c>
      <c r="B31">
        <v>40</v>
      </c>
    </row>
    <row r="32" spans="1:10">
      <c r="A32" t="s">
        <v>39</v>
      </c>
      <c r="B32">
        <v>50</v>
      </c>
    </row>
    <row r="33" spans="1:2">
      <c r="B33">
        <f>B$29*B31</f>
        <v>466.94400000000002</v>
      </c>
    </row>
    <row r="34" spans="1:2">
      <c r="B34">
        <f>B$29*B32</f>
        <v>583.68000000000006</v>
      </c>
    </row>
    <row r="39" spans="1:2">
      <c r="B39">
        <v>1024</v>
      </c>
    </row>
    <row r="40" spans="1:2">
      <c r="B40">
        <f>256*256*256 / 4</f>
        <v>4194304</v>
      </c>
    </row>
    <row r="41" spans="1:2">
      <c r="A41" t="s">
        <v>86</v>
      </c>
      <c r="B41">
        <f>B40/50</f>
        <v>83886.080000000002</v>
      </c>
    </row>
    <row r="42" spans="1:2">
      <c r="A42" t="s">
        <v>87</v>
      </c>
      <c r="B42">
        <f>B41/60</f>
        <v>1398.1013333333333</v>
      </c>
    </row>
    <row r="43" spans="1:2">
      <c r="A43" t="s">
        <v>88</v>
      </c>
      <c r="B43">
        <f>B42/60</f>
        <v>23.301688888888886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94"/>
  <sheetViews>
    <sheetView topLeftCell="A55" workbookViewId="0">
      <selection activeCell="E85" sqref="E85:P93"/>
    </sheetView>
  </sheetViews>
  <sheetFormatPr defaultRowHeight="15"/>
  <cols>
    <col min="4" max="4" width="5.28515625" customWidth="1"/>
    <col min="7" max="7" width="3.42578125" customWidth="1"/>
    <col min="8" max="8" width="3.85546875" customWidth="1"/>
    <col min="9" max="9" width="3.7109375" customWidth="1"/>
    <col min="10" max="10" width="5.5703125" customWidth="1"/>
    <col min="11" max="11" width="5.140625" customWidth="1"/>
    <col min="12" max="12" width="4" customWidth="1"/>
    <col min="13" max="13" width="4.140625" customWidth="1"/>
    <col min="14" max="14" width="4" customWidth="1"/>
    <col min="15" max="15" width="3.140625" customWidth="1"/>
    <col min="16" max="17" width="3.7109375" customWidth="1"/>
    <col min="18" max="21" width="3.28515625" customWidth="1"/>
    <col min="22" max="22" width="3.5703125" style="5" customWidth="1"/>
    <col min="23" max="23" width="3.7109375" style="5" customWidth="1"/>
    <col min="24" max="24" width="2.7109375" style="5" customWidth="1"/>
    <col min="25" max="25" width="4" style="5" customWidth="1"/>
  </cols>
  <sheetData>
    <row r="1" spans="3:31">
      <c r="J1">
        <v>15</v>
      </c>
      <c r="K1">
        <v>14</v>
      </c>
      <c r="L1">
        <v>13</v>
      </c>
      <c r="M1">
        <v>12</v>
      </c>
      <c r="N1">
        <v>11</v>
      </c>
      <c r="O1">
        <v>10</v>
      </c>
      <c r="P1">
        <v>9</v>
      </c>
      <c r="Q1">
        <v>8</v>
      </c>
      <c r="R1">
        <v>7</v>
      </c>
      <c r="S1">
        <v>6</v>
      </c>
      <c r="T1">
        <v>5</v>
      </c>
      <c r="U1">
        <v>4</v>
      </c>
      <c r="V1" s="5">
        <v>3</v>
      </c>
      <c r="W1" s="5">
        <v>2</v>
      </c>
      <c r="X1" s="5">
        <v>1</v>
      </c>
      <c r="Y1" s="5">
        <v>0</v>
      </c>
    </row>
    <row r="3" spans="3:31">
      <c r="C3" t="s">
        <v>40</v>
      </c>
      <c r="F3">
        <v>115.375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 s="5">
        <v>0</v>
      </c>
      <c r="W3" s="5">
        <v>1</v>
      </c>
      <c r="X3" s="5">
        <v>1</v>
      </c>
      <c r="Y3" s="5">
        <v>0</v>
      </c>
      <c r="AA3">
        <f>U3*1+T3*2+S3*4*R3*8+Q3*16+P3*32+O3*64+N3*128+M3*256+L3*512+K3*1024+J3*2048</f>
        <v>115</v>
      </c>
      <c r="AB3">
        <f>V3*(1/2)+W3*(1/4)+X3*(1/8)+Y3*(1/16)</f>
        <v>0.375</v>
      </c>
      <c r="AC3">
        <f>AA3+AB3</f>
        <v>115.375</v>
      </c>
      <c r="AD3">
        <f>1/4+1/8</f>
        <v>0.375</v>
      </c>
    </row>
    <row r="5" spans="3:31">
      <c r="G5" s="6"/>
      <c r="H5" s="7"/>
      <c r="I5" s="7"/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1</v>
      </c>
      <c r="Q5" s="7">
        <v>1</v>
      </c>
      <c r="R5" s="7">
        <v>0</v>
      </c>
      <c r="S5" s="7">
        <v>0</v>
      </c>
      <c r="T5" s="7">
        <v>1</v>
      </c>
      <c r="U5" s="7">
        <v>1</v>
      </c>
      <c r="V5" s="8">
        <v>0</v>
      </c>
      <c r="W5" s="8">
        <v>1</v>
      </c>
      <c r="X5" s="8">
        <v>1</v>
      </c>
      <c r="Y5" s="9">
        <v>0</v>
      </c>
    </row>
    <row r="6" spans="3:31">
      <c r="G6" s="10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  <c r="O6" s="11">
        <v>1</v>
      </c>
      <c r="P6" s="11">
        <v>1</v>
      </c>
      <c r="Q6" s="11">
        <v>0</v>
      </c>
      <c r="R6" s="11">
        <v>0</v>
      </c>
      <c r="S6" s="11">
        <v>1</v>
      </c>
      <c r="T6" s="11">
        <v>1</v>
      </c>
      <c r="U6" s="12">
        <v>0</v>
      </c>
      <c r="V6" s="12">
        <v>1</v>
      </c>
      <c r="W6" s="12">
        <v>1</v>
      </c>
      <c r="X6" s="12">
        <v>0</v>
      </c>
      <c r="Y6" s="13">
        <v>0</v>
      </c>
    </row>
    <row r="7" spans="3:31">
      <c r="G7" s="10"/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1</v>
      </c>
      <c r="O7" s="11">
        <v>1</v>
      </c>
      <c r="P7" s="11">
        <v>0</v>
      </c>
      <c r="Q7" s="11">
        <v>0</v>
      </c>
      <c r="R7" s="11">
        <v>1</v>
      </c>
      <c r="S7" s="11">
        <v>1</v>
      </c>
      <c r="T7" s="12">
        <v>0</v>
      </c>
      <c r="U7" s="12">
        <v>1</v>
      </c>
      <c r="V7" s="12">
        <v>1</v>
      </c>
      <c r="W7" s="12">
        <v>0</v>
      </c>
      <c r="X7" s="12">
        <v>0</v>
      </c>
      <c r="Y7" s="13">
        <v>0</v>
      </c>
    </row>
    <row r="8" spans="3:31">
      <c r="G8" s="14">
        <v>0</v>
      </c>
      <c r="H8" s="15">
        <v>0</v>
      </c>
      <c r="I8" s="15">
        <v>0</v>
      </c>
      <c r="J8" s="15">
        <v>0</v>
      </c>
      <c r="K8" s="15">
        <v>0</v>
      </c>
      <c r="L8" s="15">
        <v>1</v>
      </c>
      <c r="M8" s="15">
        <v>1</v>
      </c>
      <c r="N8" s="15">
        <v>1</v>
      </c>
      <c r="O8" s="15">
        <v>0</v>
      </c>
      <c r="P8" s="15">
        <v>0</v>
      </c>
      <c r="Q8" s="15">
        <v>1</v>
      </c>
      <c r="R8" s="15">
        <v>1</v>
      </c>
      <c r="S8" s="16">
        <v>0</v>
      </c>
      <c r="T8" s="16">
        <v>1</v>
      </c>
      <c r="U8" s="16">
        <v>1</v>
      </c>
      <c r="V8" s="16">
        <v>0</v>
      </c>
      <c r="W8" s="16">
        <v>0</v>
      </c>
      <c r="X8" s="16">
        <v>0</v>
      </c>
      <c r="Y8" s="17">
        <v>0</v>
      </c>
    </row>
    <row r="9" spans="3:31">
      <c r="C9" t="s">
        <v>41</v>
      </c>
      <c r="G9" s="19"/>
      <c r="H9" s="20"/>
      <c r="I9" s="20"/>
      <c r="J9" s="20"/>
      <c r="K9" s="20">
        <v>1</v>
      </c>
      <c r="L9" s="20">
        <v>1</v>
      </c>
      <c r="M9" s="20">
        <v>0</v>
      </c>
      <c r="N9" s="20">
        <v>1</v>
      </c>
      <c r="O9" s="20">
        <v>1</v>
      </c>
      <c r="P9" s="20">
        <v>0</v>
      </c>
      <c r="Q9" s="20">
        <v>0</v>
      </c>
      <c r="R9" s="20">
        <v>0</v>
      </c>
      <c r="S9" s="20">
        <v>0</v>
      </c>
      <c r="T9" s="21">
        <v>1</v>
      </c>
      <c r="U9" s="20">
        <v>0</v>
      </c>
      <c r="V9" s="22">
        <v>1</v>
      </c>
      <c r="W9" s="22">
        <v>0</v>
      </c>
      <c r="X9" s="22">
        <v>1</v>
      </c>
      <c r="Y9" s="23">
        <v>0</v>
      </c>
      <c r="AA9">
        <f>U9*1+T9*2+S9*4*R9*8+Q9*16+P9*32+O9*64+N9*128+M9*256+L9*512+K9*1024+J9*2048</f>
        <v>1730</v>
      </c>
      <c r="AB9">
        <f>V9*(1/2)+W9*(1/4)+X9*(1/8)+Y9*(1/16)</f>
        <v>0.625</v>
      </c>
      <c r="AC9">
        <f>AA9+AB9</f>
        <v>1730.625</v>
      </c>
      <c r="AE9">
        <f>15*F3</f>
        <v>1730.625</v>
      </c>
    </row>
    <row r="10" spans="3:31">
      <c r="F10" t="s">
        <v>44</v>
      </c>
      <c r="M10" s="18">
        <v>1</v>
      </c>
      <c r="O10" s="18">
        <v>1</v>
      </c>
      <c r="Q10" s="18">
        <v>1</v>
      </c>
      <c r="S10" s="18">
        <v>1</v>
      </c>
      <c r="U10" s="24">
        <v>1</v>
      </c>
      <c r="V10" s="5">
        <v>1</v>
      </c>
    </row>
    <row r="11" spans="3:31">
      <c r="F11" t="s">
        <v>45</v>
      </c>
      <c r="K11">
        <v>1</v>
      </c>
      <c r="M11">
        <v>1</v>
      </c>
      <c r="O11">
        <v>1</v>
      </c>
      <c r="Q11">
        <v>1</v>
      </c>
      <c r="S11">
        <v>1</v>
      </c>
    </row>
    <row r="14" spans="3:31">
      <c r="C14" t="s">
        <v>46</v>
      </c>
      <c r="F14">
        <v>114</v>
      </c>
      <c r="G14" s="6"/>
      <c r="H14" s="7"/>
      <c r="I14" s="7"/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7">
        <v>1</v>
      </c>
      <c r="R14" s="7">
        <v>0</v>
      </c>
      <c r="S14" s="7">
        <v>0</v>
      </c>
      <c r="T14" s="7">
        <v>1</v>
      </c>
      <c r="U14" s="7">
        <v>0</v>
      </c>
      <c r="V14" s="8">
        <v>0</v>
      </c>
      <c r="W14" s="8">
        <v>0</v>
      </c>
      <c r="X14" s="8">
        <v>0</v>
      </c>
      <c r="Y14" s="9">
        <v>0</v>
      </c>
      <c r="AA14">
        <f>U14*1+T14*2+S14*4+R14*8+Q14*16+P14*32+O14*64+N14*128+M14*256+L14*512+K14*1024+J14*2048</f>
        <v>114</v>
      </c>
      <c r="AB14">
        <f>V14*(1/2)+W14*(1/4)+X14*(1/8)+Y14*(1/16)</f>
        <v>0</v>
      </c>
      <c r="AC14">
        <f>AA14+AB14</f>
        <v>114</v>
      </c>
      <c r="AE14">
        <f>F14</f>
        <v>114</v>
      </c>
    </row>
    <row r="15" spans="3:31">
      <c r="C15" t="s">
        <v>41</v>
      </c>
      <c r="G15" s="26">
        <f t="shared" ref="G15:X15" si="0">G9</f>
        <v>0</v>
      </c>
      <c r="H15" s="27">
        <f t="shared" si="0"/>
        <v>0</v>
      </c>
      <c r="I15" s="27">
        <f t="shared" si="0"/>
        <v>0</v>
      </c>
      <c r="J15" s="27">
        <f t="shared" si="0"/>
        <v>0</v>
      </c>
      <c r="K15" s="27">
        <f t="shared" si="0"/>
        <v>1</v>
      </c>
      <c r="L15" s="27">
        <f t="shared" si="0"/>
        <v>1</v>
      </c>
      <c r="M15" s="27">
        <f t="shared" si="0"/>
        <v>0</v>
      </c>
      <c r="N15" s="27">
        <f t="shared" si="0"/>
        <v>1</v>
      </c>
      <c r="O15" s="27">
        <f t="shared" si="0"/>
        <v>1</v>
      </c>
      <c r="P15" s="27">
        <f t="shared" si="0"/>
        <v>0</v>
      </c>
      <c r="Q15" s="27">
        <f t="shared" si="0"/>
        <v>0</v>
      </c>
      <c r="R15" s="27">
        <f t="shared" si="0"/>
        <v>0</v>
      </c>
      <c r="S15" s="27">
        <f t="shared" si="0"/>
        <v>0</v>
      </c>
      <c r="T15" s="27">
        <f t="shared" si="0"/>
        <v>1</v>
      </c>
      <c r="U15" s="27">
        <f t="shared" si="0"/>
        <v>0</v>
      </c>
      <c r="V15" s="16">
        <f t="shared" si="0"/>
        <v>1</v>
      </c>
      <c r="W15" s="16">
        <f t="shared" si="0"/>
        <v>0</v>
      </c>
      <c r="X15" s="16">
        <f t="shared" si="0"/>
        <v>1</v>
      </c>
      <c r="Y15" s="17">
        <f>Y9</f>
        <v>0</v>
      </c>
      <c r="AA15">
        <f t="shared" ref="AA15:AA17" si="1">U15*1+T15*2+S15*4+R15*8+Q15*16+P15*32+O15*64+N15*128+M15*256+L15*512+K15*1024+J15*2048</f>
        <v>1730</v>
      </c>
      <c r="AB15">
        <f>V15*(1/2)+W15*(1/4)+X15*(1/8)+Y15*(1/16)</f>
        <v>0.625</v>
      </c>
      <c r="AC15">
        <f>AA15+AB15</f>
        <v>1730.625</v>
      </c>
      <c r="AE15">
        <f>AE9</f>
        <v>1730.625</v>
      </c>
    </row>
    <row r="16" spans="3:31">
      <c r="C16" t="s">
        <v>42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 s="5">
        <v>1</v>
      </c>
      <c r="W16" s="5">
        <v>0</v>
      </c>
      <c r="X16" s="5">
        <v>1</v>
      </c>
      <c r="Y16" s="5">
        <v>0</v>
      </c>
      <c r="AA16">
        <f t="shared" si="1"/>
        <v>1844</v>
      </c>
      <c r="AB16">
        <f>V16*(1/2)+W16*(1/4)+X16*(1/8)+Y16*(1/16)</f>
        <v>0.625</v>
      </c>
      <c r="AC16">
        <f>AA16+AB16</f>
        <v>1844.625</v>
      </c>
      <c r="AE16">
        <f>AE15+AE14</f>
        <v>1844.625</v>
      </c>
    </row>
    <row r="17" spans="2:31">
      <c r="C17" t="s">
        <v>43</v>
      </c>
      <c r="J17" s="25">
        <f t="shared" ref="J17:X17" si="2">F16</f>
        <v>0</v>
      </c>
      <c r="K17" s="25">
        <f t="shared" si="2"/>
        <v>0</v>
      </c>
      <c r="L17" s="25">
        <f t="shared" si="2"/>
        <v>0</v>
      </c>
      <c r="M17" s="25">
        <f t="shared" si="2"/>
        <v>0</v>
      </c>
      <c r="N17" s="25">
        <f t="shared" si="2"/>
        <v>0</v>
      </c>
      <c r="O17" s="25">
        <f t="shared" si="2"/>
        <v>1</v>
      </c>
      <c r="P17" s="25">
        <f t="shared" si="2"/>
        <v>1</v>
      </c>
      <c r="Q17" s="25">
        <f t="shared" si="2"/>
        <v>1</v>
      </c>
      <c r="R17" s="25">
        <f t="shared" si="2"/>
        <v>0</v>
      </c>
      <c r="S17" s="25">
        <f t="shared" si="2"/>
        <v>0</v>
      </c>
      <c r="T17" s="25">
        <f t="shared" si="2"/>
        <v>1</v>
      </c>
      <c r="U17" s="25">
        <f t="shared" si="2"/>
        <v>1</v>
      </c>
      <c r="V17" s="5">
        <f t="shared" si="2"/>
        <v>0</v>
      </c>
      <c r="W17" s="5">
        <f t="shared" si="2"/>
        <v>1</v>
      </c>
      <c r="X17" s="5">
        <f t="shared" si="2"/>
        <v>0</v>
      </c>
      <c r="Y17" s="5">
        <f>U16</f>
        <v>0</v>
      </c>
      <c r="AA17">
        <f t="shared" si="1"/>
        <v>115</v>
      </c>
      <c r="AB17">
        <f>V17*(1/2)+W17*(1/4)+X17*(1/8)+Y17*(1/16)</f>
        <v>0.25</v>
      </c>
      <c r="AC17">
        <f>AA17+AB17</f>
        <v>115.25</v>
      </c>
      <c r="AE17">
        <f>AE16/16</f>
        <v>115.2890625</v>
      </c>
    </row>
    <row r="21" spans="2:31">
      <c r="J21">
        <f t="shared" ref="J21:S21" si="3">K21*2</f>
        <v>2048</v>
      </c>
      <c r="K21">
        <f t="shared" si="3"/>
        <v>1024</v>
      </c>
      <c r="L21">
        <f t="shared" si="3"/>
        <v>512</v>
      </c>
      <c r="M21">
        <f t="shared" si="3"/>
        <v>256</v>
      </c>
      <c r="N21">
        <f t="shared" si="3"/>
        <v>128</v>
      </c>
      <c r="O21">
        <f t="shared" si="3"/>
        <v>64</v>
      </c>
      <c r="P21">
        <f t="shared" si="3"/>
        <v>32</v>
      </c>
      <c r="Q21">
        <f t="shared" si="3"/>
        <v>16</v>
      </c>
      <c r="R21">
        <f t="shared" si="3"/>
        <v>8</v>
      </c>
      <c r="S21">
        <f t="shared" si="3"/>
        <v>4</v>
      </c>
      <c r="T21">
        <f>U21*2</f>
        <v>2</v>
      </c>
      <c r="U21">
        <v>1</v>
      </c>
      <c r="V21" s="5">
        <f>1/2</f>
        <v>0.5</v>
      </c>
      <c r="W21" s="5">
        <f>1/4</f>
        <v>0.25</v>
      </c>
      <c r="X21" s="5">
        <f>1/8</f>
        <v>0.125</v>
      </c>
      <c r="Y21" s="5">
        <f>1/16</f>
        <v>6.25E-2</v>
      </c>
    </row>
    <row r="22" spans="2:31">
      <c r="J22">
        <f t="shared" ref="J22:T22" si="4">J21*J14</f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64</v>
      </c>
      <c r="P22">
        <f t="shared" si="4"/>
        <v>32</v>
      </c>
      <c r="Q22">
        <f t="shared" si="4"/>
        <v>16</v>
      </c>
      <c r="R22">
        <f t="shared" si="4"/>
        <v>0</v>
      </c>
      <c r="S22">
        <f t="shared" si="4"/>
        <v>0</v>
      </c>
      <c r="T22">
        <f t="shared" si="4"/>
        <v>2</v>
      </c>
      <c r="U22">
        <f>U$21*U14</f>
        <v>0</v>
      </c>
      <c r="V22" s="5">
        <f t="shared" ref="V22:Y22" si="5">V$21*V14</f>
        <v>0</v>
      </c>
      <c r="W22" s="5">
        <f t="shared" si="5"/>
        <v>0</v>
      </c>
      <c r="X22" s="5">
        <f t="shared" si="5"/>
        <v>0</v>
      </c>
      <c r="Y22" s="5">
        <f t="shared" si="5"/>
        <v>0</v>
      </c>
      <c r="AA22">
        <f>SUM(J22:Y22)</f>
        <v>114</v>
      </c>
    </row>
    <row r="23" spans="2:31">
      <c r="J23">
        <f t="shared" ref="J23:T25" si="6">J$21*J15</f>
        <v>0</v>
      </c>
      <c r="K23">
        <f t="shared" si="6"/>
        <v>1024</v>
      </c>
      <c r="L23">
        <f t="shared" si="6"/>
        <v>512</v>
      </c>
      <c r="M23">
        <f t="shared" si="6"/>
        <v>0</v>
      </c>
      <c r="N23">
        <f t="shared" si="6"/>
        <v>128</v>
      </c>
      <c r="O23">
        <f t="shared" si="6"/>
        <v>64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2</v>
      </c>
      <c r="U23">
        <f>U$21*U15</f>
        <v>0</v>
      </c>
      <c r="V23" s="5">
        <f t="shared" ref="V23:Y23" si="7">V$21*V15</f>
        <v>0.5</v>
      </c>
      <c r="W23" s="5">
        <f t="shared" si="7"/>
        <v>0</v>
      </c>
      <c r="X23" s="5">
        <f t="shared" si="7"/>
        <v>0.125</v>
      </c>
      <c r="Y23" s="5">
        <f t="shared" si="7"/>
        <v>0</v>
      </c>
      <c r="AA23">
        <f t="shared" ref="AA23:AA25" si="8">SUM(J23:Y23)</f>
        <v>1730.625</v>
      </c>
    </row>
    <row r="24" spans="2:31">
      <c r="J24">
        <f t="shared" si="6"/>
        <v>0</v>
      </c>
      <c r="K24">
        <f t="shared" si="6"/>
        <v>1024</v>
      </c>
      <c r="L24">
        <f t="shared" si="6"/>
        <v>512</v>
      </c>
      <c r="M24">
        <f t="shared" si="6"/>
        <v>256</v>
      </c>
      <c r="N24">
        <f t="shared" si="6"/>
        <v>0</v>
      </c>
      <c r="O24">
        <f t="shared" si="6"/>
        <v>0</v>
      </c>
      <c r="P24">
        <f t="shared" si="6"/>
        <v>32</v>
      </c>
      <c r="Q24">
        <f t="shared" si="6"/>
        <v>16</v>
      </c>
      <c r="R24">
        <f t="shared" si="6"/>
        <v>0</v>
      </c>
      <c r="S24">
        <f t="shared" si="6"/>
        <v>4</v>
      </c>
      <c r="T24">
        <f t="shared" si="6"/>
        <v>0</v>
      </c>
      <c r="U24">
        <f t="shared" ref="U24:Y25" si="9">U$21*U16</f>
        <v>0</v>
      </c>
      <c r="V24" s="5">
        <f t="shared" si="9"/>
        <v>0.5</v>
      </c>
      <c r="W24" s="5">
        <f t="shared" si="9"/>
        <v>0</v>
      </c>
      <c r="X24" s="5">
        <f t="shared" si="9"/>
        <v>0.125</v>
      </c>
      <c r="Y24" s="5">
        <f t="shared" si="9"/>
        <v>0</v>
      </c>
      <c r="AA24">
        <f t="shared" si="8"/>
        <v>1844.625</v>
      </c>
    </row>
    <row r="25" spans="2:31"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64</v>
      </c>
      <c r="P25">
        <f t="shared" si="6"/>
        <v>32</v>
      </c>
      <c r="Q25">
        <f t="shared" si="6"/>
        <v>16</v>
      </c>
      <c r="R25">
        <f t="shared" si="6"/>
        <v>0</v>
      </c>
      <c r="S25">
        <f t="shared" si="6"/>
        <v>0</v>
      </c>
      <c r="T25">
        <f t="shared" si="6"/>
        <v>2</v>
      </c>
      <c r="U25">
        <f t="shared" si="9"/>
        <v>1</v>
      </c>
      <c r="V25" s="5">
        <f t="shared" si="9"/>
        <v>0</v>
      </c>
      <c r="W25" s="5">
        <f t="shared" si="9"/>
        <v>0.25</v>
      </c>
      <c r="X25" s="5">
        <f t="shared" si="9"/>
        <v>0</v>
      </c>
      <c r="Y25" s="5">
        <f t="shared" si="9"/>
        <v>0</v>
      </c>
      <c r="AA25">
        <f t="shared" si="8"/>
        <v>115.25</v>
      </c>
    </row>
    <row r="31" spans="2:31">
      <c r="B31">
        <v>0</v>
      </c>
      <c r="C31">
        <v>0</v>
      </c>
      <c r="AE31" t="s">
        <v>49</v>
      </c>
    </row>
    <row r="32" spans="2:31">
      <c r="B32">
        <v>110</v>
      </c>
      <c r="C32">
        <f>(C31*15+B32)/16</f>
        <v>6.875</v>
      </c>
      <c r="R32">
        <v>0</v>
      </c>
      <c r="S32">
        <v>1</v>
      </c>
      <c r="T32">
        <v>1</v>
      </c>
      <c r="U32">
        <v>0</v>
      </c>
      <c r="V32" s="5">
        <v>1</v>
      </c>
      <c r="W32" s="5">
        <v>1</v>
      </c>
      <c r="X32" s="5">
        <v>1</v>
      </c>
      <c r="Y32" s="5">
        <v>0</v>
      </c>
      <c r="AA32">
        <f t="shared" ref="AA32" si="10">U32*1+T32*2+S32*4+R32*8+Q32*16+P32*32+O32*64+N32*128+M32*256+L32*512+K32*1024+J32*2048</f>
        <v>6</v>
      </c>
      <c r="AB32">
        <f>V32*(1/2)+W32*(1/4)+X32*(1/8)+Y32*(1/16)</f>
        <v>0.875</v>
      </c>
      <c r="AC32">
        <f>AA32+AB32</f>
        <v>6.875</v>
      </c>
      <c r="AE32" t="s">
        <v>48</v>
      </c>
    </row>
    <row r="33" spans="2:31">
      <c r="B33">
        <v>110</v>
      </c>
      <c r="C33">
        <f t="shared" ref="C33:C51" si="11">(C32*15+B33)/16</f>
        <v>13.3203125</v>
      </c>
      <c r="R33">
        <v>1</v>
      </c>
      <c r="S33">
        <v>1</v>
      </c>
      <c r="T33">
        <v>0</v>
      </c>
      <c r="U33">
        <v>1</v>
      </c>
      <c r="V33" s="5">
        <v>0</v>
      </c>
      <c r="W33" s="5">
        <v>1</v>
      </c>
      <c r="X33" s="5">
        <v>0</v>
      </c>
      <c r="Y33" s="5">
        <v>1</v>
      </c>
      <c r="AA33">
        <f t="shared" ref="AA33" si="12">U33*1+T33*2+S33*4+R33*8+Q33*16+P33*32+O33*64+N33*128+M33*256+L33*512+K33*1024+J33*2048</f>
        <v>13</v>
      </c>
      <c r="AB33">
        <f>V33*(1/2)+W33*(1/4)+X33*(1/8)+Y33*(1/16)</f>
        <v>0.3125</v>
      </c>
      <c r="AC33">
        <f>AA33+AB33</f>
        <v>13.3125</v>
      </c>
      <c r="AE33" t="s">
        <v>47</v>
      </c>
    </row>
    <row r="34" spans="2:31">
      <c r="B34">
        <v>110</v>
      </c>
      <c r="C34">
        <f t="shared" si="11"/>
        <v>19.36279296875</v>
      </c>
      <c r="AE34" s="3" t="s">
        <v>52</v>
      </c>
    </row>
    <row r="35" spans="2:31">
      <c r="B35">
        <v>110</v>
      </c>
      <c r="C35">
        <f t="shared" si="11"/>
        <v>25.027618408203125</v>
      </c>
      <c r="AE35" s="3" t="s">
        <v>51</v>
      </c>
    </row>
    <row r="36" spans="2:31">
      <c r="B36">
        <v>110</v>
      </c>
      <c r="C36">
        <f t="shared" si="11"/>
        <v>30.33839225769043</v>
      </c>
      <c r="AE36" s="28" t="s">
        <v>53</v>
      </c>
    </row>
    <row r="37" spans="2:31">
      <c r="B37">
        <v>110</v>
      </c>
      <c r="C37">
        <f t="shared" si="11"/>
        <v>35.317242741584778</v>
      </c>
      <c r="AE37" s="3" t="s">
        <v>54</v>
      </c>
    </row>
    <row r="38" spans="2:31">
      <c r="B38">
        <v>110</v>
      </c>
      <c r="C38">
        <f t="shared" si="11"/>
        <v>39.984915070235729</v>
      </c>
      <c r="AE38" s="3" t="s">
        <v>55</v>
      </c>
    </row>
    <row r="39" spans="2:31">
      <c r="B39">
        <v>110</v>
      </c>
      <c r="C39">
        <f t="shared" si="11"/>
        <v>44.360857878345996</v>
      </c>
      <c r="AE39" t="s">
        <v>56</v>
      </c>
    </row>
    <row r="40" spans="2:31">
      <c r="B40">
        <v>110</v>
      </c>
      <c r="C40">
        <f t="shared" si="11"/>
        <v>48.463304260949371</v>
      </c>
      <c r="AE40" t="s">
        <v>57</v>
      </c>
    </row>
    <row r="41" spans="2:31">
      <c r="B41">
        <v>110</v>
      </c>
      <c r="C41">
        <f t="shared" si="11"/>
        <v>52.309347744640036</v>
      </c>
    </row>
    <row r="42" spans="2:31">
      <c r="B42">
        <v>110</v>
      </c>
      <c r="C42">
        <f t="shared" si="11"/>
        <v>55.915013510600033</v>
      </c>
    </row>
    <row r="43" spans="2:31">
      <c r="B43">
        <v>110</v>
      </c>
      <c r="C43">
        <f t="shared" si="11"/>
        <v>59.295325166187531</v>
      </c>
    </row>
    <row r="44" spans="2:31">
      <c r="B44">
        <v>110</v>
      </c>
      <c r="C44">
        <f t="shared" si="11"/>
        <v>62.464367343300808</v>
      </c>
    </row>
    <row r="45" spans="2:31">
      <c r="B45">
        <v>110</v>
      </c>
      <c r="C45">
        <f t="shared" si="11"/>
        <v>65.435344384344504</v>
      </c>
    </row>
    <row r="46" spans="2:31">
      <c r="B46">
        <v>110</v>
      </c>
      <c r="C46">
        <f t="shared" si="11"/>
        <v>68.220635360322973</v>
      </c>
    </row>
    <row r="47" spans="2:31">
      <c r="B47">
        <v>110</v>
      </c>
      <c r="C47">
        <f t="shared" si="11"/>
        <v>70.831845650302796</v>
      </c>
    </row>
    <row r="48" spans="2:31">
      <c r="B48">
        <v>110</v>
      </c>
      <c r="C48">
        <f t="shared" si="11"/>
        <v>73.279855297158875</v>
      </c>
    </row>
    <row r="49" spans="2:26">
      <c r="B49">
        <v>110</v>
      </c>
      <c r="C49">
        <f t="shared" si="11"/>
        <v>75.574864341086439</v>
      </c>
    </row>
    <row r="50" spans="2:26">
      <c r="B50">
        <v>110</v>
      </c>
      <c r="C50">
        <f t="shared" si="11"/>
        <v>77.726435319768541</v>
      </c>
    </row>
    <row r="51" spans="2:26">
      <c r="B51">
        <v>110</v>
      </c>
      <c r="C51">
        <f t="shared" si="11"/>
        <v>79.743533112283004</v>
      </c>
    </row>
    <row r="55" spans="2:26">
      <c r="Z55" t="s">
        <v>50</v>
      </c>
    </row>
    <row r="56" spans="2:26">
      <c r="B56" t="s">
        <v>61</v>
      </c>
    </row>
    <row r="57" spans="2:26">
      <c r="B57" t="s">
        <v>58</v>
      </c>
      <c r="C57">
        <v>192</v>
      </c>
      <c r="D57">
        <v>18</v>
      </c>
      <c r="E57">
        <f>D57*256+C57</f>
        <v>4800</v>
      </c>
      <c r="F57">
        <f>E57/16</f>
        <v>300</v>
      </c>
    </row>
    <row r="58" spans="2:26">
      <c r="B58" t="s">
        <v>59</v>
      </c>
      <c r="C58">
        <v>192</v>
      </c>
      <c r="D58">
        <v>18</v>
      </c>
      <c r="E58">
        <f t="shared" ref="E58:E60" si="13">D58*256+C58</f>
        <v>4800</v>
      </c>
      <c r="F58">
        <f t="shared" ref="F58:F60" si="14">E58/16</f>
        <v>300</v>
      </c>
    </row>
    <row r="59" spans="2:26">
      <c r="B59" t="s">
        <v>19</v>
      </c>
      <c r="C59">
        <v>16</v>
      </c>
      <c r="D59">
        <v>9</v>
      </c>
      <c r="E59">
        <f t="shared" si="13"/>
        <v>2320</v>
      </c>
      <c r="F59">
        <f t="shared" si="14"/>
        <v>145</v>
      </c>
    </row>
    <row r="60" spans="2:26">
      <c r="B60" t="s">
        <v>60</v>
      </c>
      <c r="C60">
        <v>96</v>
      </c>
      <c r="D60">
        <v>6</v>
      </c>
      <c r="E60">
        <f t="shared" si="13"/>
        <v>1632</v>
      </c>
      <c r="F60">
        <f t="shared" si="14"/>
        <v>102</v>
      </c>
    </row>
    <row r="62" spans="2:26">
      <c r="B62" t="s">
        <v>62</v>
      </c>
    </row>
    <row r="63" spans="2:26">
      <c r="B63" t="s">
        <v>58</v>
      </c>
      <c r="C63">
        <v>192</v>
      </c>
      <c r="D63">
        <v>2</v>
      </c>
      <c r="E63">
        <f>D63*256+C63</f>
        <v>704</v>
      </c>
      <c r="F63">
        <f>E63/16</f>
        <v>44</v>
      </c>
      <c r="H63" t="s">
        <v>63</v>
      </c>
    </row>
    <row r="64" spans="2:26">
      <c r="B64" t="s">
        <v>59</v>
      </c>
      <c r="C64">
        <v>192</v>
      </c>
      <c r="D64">
        <v>2</v>
      </c>
      <c r="E64">
        <f t="shared" ref="E64:E66" si="15">D64*256+C64</f>
        <v>704</v>
      </c>
      <c r="F64">
        <f t="shared" ref="F64:F66" si="16">E64/16</f>
        <v>44</v>
      </c>
    </row>
    <row r="65" spans="2:16">
      <c r="B65" t="s">
        <v>19</v>
      </c>
      <c r="C65">
        <v>16</v>
      </c>
      <c r="D65">
        <v>9</v>
      </c>
      <c r="E65">
        <f t="shared" si="15"/>
        <v>2320</v>
      </c>
      <c r="F65">
        <f t="shared" si="16"/>
        <v>145</v>
      </c>
    </row>
    <row r="66" spans="2:16">
      <c r="B66" t="s">
        <v>60</v>
      </c>
      <c r="C66">
        <v>96</v>
      </c>
      <c r="D66">
        <v>6</v>
      </c>
      <c r="E66">
        <f t="shared" si="15"/>
        <v>1632</v>
      </c>
      <c r="F66">
        <f t="shared" si="16"/>
        <v>102</v>
      </c>
    </row>
    <row r="69" spans="2:16">
      <c r="H69" s="6" t="s">
        <v>73</v>
      </c>
      <c r="I69" s="30"/>
      <c r="J69" s="6" t="s">
        <v>70</v>
      </c>
      <c r="K69" s="30"/>
      <c r="L69" s="6" t="s">
        <v>71</v>
      </c>
      <c r="M69" s="30"/>
      <c r="O69" s="6" t="s">
        <v>72</v>
      </c>
      <c r="P69" s="30"/>
    </row>
    <row r="70" spans="2:16">
      <c r="H70" s="31">
        <v>0</v>
      </c>
      <c r="I70" s="32">
        <v>0</v>
      </c>
      <c r="J70" s="31" t="s">
        <v>64</v>
      </c>
      <c r="K70" s="32" t="s">
        <v>65</v>
      </c>
      <c r="L70" s="31" t="s">
        <v>66</v>
      </c>
      <c r="M70" s="32" t="s">
        <v>67</v>
      </c>
      <c r="N70" s="29"/>
      <c r="O70" s="35" t="s">
        <v>82</v>
      </c>
      <c r="P70" s="36" t="s">
        <v>82</v>
      </c>
    </row>
    <row r="71" spans="2:16">
      <c r="E71" t="s">
        <v>68</v>
      </c>
      <c r="F71" t="s">
        <v>69</v>
      </c>
      <c r="H71" s="31">
        <v>0</v>
      </c>
      <c r="I71" s="32">
        <v>0</v>
      </c>
      <c r="J71" s="31" t="s">
        <v>64</v>
      </c>
      <c r="K71" s="32" t="s">
        <v>65</v>
      </c>
      <c r="L71" s="31" t="s">
        <v>66</v>
      </c>
      <c r="M71" s="32" t="s">
        <v>67</v>
      </c>
      <c r="N71" s="29"/>
      <c r="O71" s="31" t="s">
        <v>65</v>
      </c>
      <c r="P71" s="32" t="s">
        <v>64</v>
      </c>
    </row>
    <row r="72" spans="2:16">
      <c r="E72" t="s">
        <v>74</v>
      </c>
      <c r="F72" t="s">
        <v>70</v>
      </c>
      <c r="H72" s="31">
        <v>0</v>
      </c>
      <c r="I72" s="32">
        <v>0</v>
      </c>
      <c r="J72" s="31" t="s">
        <v>65</v>
      </c>
      <c r="K72" s="32" t="s">
        <v>64</v>
      </c>
      <c r="L72" s="31" t="s">
        <v>66</v>
      </c>
      <c r="M72" s="32" t="s">
        <v>67</v>
      </c>
      <c r="N72" s="29"/>
      <c r="O72" s="31" t="s">
        <v>65</v>
      </c>
      <c r="P72" s="32" t="s">
        <v>64</v>
      </c>
    </row>
    <row r="73" spans="2:16">
      <c r="E73" t="s">
        <v>75</v>
      </c>
      <c r="F73" t="s">
        <v>76</v>
      </c>
      <c r="H73" s="31">
        <v>0</v>
      </c>
      <c r="I73" s="32">
        <v>0</v>
      </c>
      <c r="J73" s="31" t="s">
        <v>65</v>
      </c>
      <c r="K73" s="32" t="s">
        <v>64</v>
      </c>
      <c r="L73" s="31" t="s">
        <v>66</v>
      </c>
      <c r="M73" s="32" t="s">
        <v>67</v>
      </c>
      <c r="N73" s="29"/>
      <c r="O73" s="31">
        <v>0</v>
      </c>
      <c r="P73" s="32" t="s">
        <v>64</v>
      </c>
    </row>
    <row r="74" spans="2:16">
      <c r="E74" t="s">
        <v>74</v>
      </c>
      <c r="F74" t="s">
        <v>73</v>
      </c>
      <c r="H74" s="31">
        <v>0</v>
      </c>
      <c r="I74" s="32" t="s">
        <v>64</v>
      </c>
      <c r="J74" s="31" t="s">
        <v>65</v>
      </c>
      <c r="K74" s="32" t="s">
        <v>64</v>
      </c>
      <c r="L74" s="31" t="s">
        <v>66</v>
      </c>
      <c r="M74" s="32" t="s">
        <v>67</v>
      </c>
      <c r="N74" s="29"/>
      <c r="O74" s="31">
        <v>0</v>
      </c>
      <c r="P74" s="32" t="s">
        <v>64</v>
      </c>
    </row>
    <row r="75" spans="2:16">
      <c r="E75" t="s">
        <v>79</v>
      </c>
      <c r="F75" t="s">
        <v>80</v>
      </c>
      <c r="H75" s="31">
        <v>0</v>
      </c>
      <c r="I75" s="32" t="s">
        <v>64</v>
      </c>
      <c r="J75" s="31" t="s">
        <v>65</v>
      </c>
      <c r="K75" s="32">
        <v>0</v>
      </c>
      <c r="L75" s="31" t="s">
        <v>66</v>
      </c>
      <c r="M75" s="32" t="s">
        <v>67</v>
      </c>
      <c r="N75" s="29"/>
      <c r="O75" s="31">
        <v>0</v>
      </c>
      <c r="P75" s="32" t="s">
        <v>64</v>
      </c>
    </row>
    <row r="76" spans="2:16">
      <c r="E76" t="s">
        <v>68</v>
      </c>
      <c r="F76" t="s">
        <v>77</v>
      </c>
      <c r="H76" s="31">
        <v>0</v>
      </c>
      <c r="I76" s="32" t="s">
        <v>64</v>
      </c>
      <c r="J76" s="31" t="s">
        <v>65</v>
      </c>
      <c r="K76" s="32">
        <v>0</v>
      </c>
      <c r="L76" s="31" t="s">
        <v>66</v>
      </c>
      <c r="M76" s="32" t="s">
        <v>67</v>
      </c>
      <c r="N76" s="29"/>
      <c r="O76" s="31" t="s">
        <v>67</v>
      </c>
      <c r="P76" s="32" t="s">
        <v>66</v>
      </c>
    </row>
    <row r="77" spans="2:16">
      <c r="E77" t="s">
        <v>75</v>
      </c>
      <c r="F77" t="s">
        <v>76</v>
      </c>
      <c r="H77" s="31">
        <v>0</v>
      </c>
      <c r="I77" s="32" t="s">
        <v>64</v>
      </c>
      <c r="J77" s="31" t="s">
        <v>65</v>
      </c>
      <c r="K77" s="32">
        <v>0</v>
      </c>
      <c r="L77" s="31" t="s">
        <v>66</v>
      </c>
      <c r="M77" s="32" t="s">
        <v>67</v>
      </c>
      <c r="N77" s="29"/>
      <c r="O77" s="31">
        <v>0</v>
      </c>
      <c r="P77" s="32" t="s">
        <v>66</v>
      </c>
    </row>
    <row r="78" spans="2:16">
      <c r="E78" t="s">
        <v>78</v>
      </c>
      <c r="F78" t="s">
        <v>80</v>
      </c>
      <c r="H78" s="31">
        <v>0</v>
      </c>
      <c r="I78" s="32" t="s">
        <v>64</v>
      </c>
      <c r="J78" s="31" t="s">
        <v>65</v>
      </c>
      <c r="K78" s="32" t="s">
        <v>66</v>
      </c>
      <c r="L78" s="31" t="s">
        <v>66</v>
      </c>
      <c r="M78" s="32" t="s">
        <v>67</v>
      </c>
      <c r="O78" s="31">
        <v>0</v>
      </c>
      <c r="P78" s="32" t="s">
        <v>66</v>
      </c>
    </row>
    <row r="79" spans="2:16">
      <c r="E79" t="s">
        <v>68</v>
      </c>
      <c r="F79" t="s">
        <v>81</v>
      </c>
      <c r="H79" s="31">
        <v>0</v>
      </c>
      <c r="I79" s="32" t="s">
        <v>64</v>
      </c>
      <c r="J79" s="31" t="s">
        <v>65</v>
      </c>
      <c r="K79" s="32" t="s">
        <v>66</v>
      </c>
      <c r="L79" s="31" t="s">
        <v>67</v>
      </c>
      <c r="M79" s="32" t="s">
        <v>66</v>
      </c>
      <c r="O79" s="31">
        <v>0</v>
      </c>
      <c r="P79" s="32" t="s">
        <v>66</v>
      </c>
    </row>
    <row r="80" spans="2:16">
      <c r="E80" t="s">
        <v>79</v>
      </c>
      <c r="F80" t="s">
        <v>81</v>
      </c>
      <c r="H80" s="33">
        <v>0</v>
      </c>
      <c r="I80" s="34" t="s">
        <v>64</v>
      </c>
      <c r="J80" s="33" t="s">
        <v>65</v>
      </c>
      <c r="K80" s="34" t="s">
        <v>66</v>
      </c>
      <c r="L80" s="33" t="s">
        <v>67</v>
      </c>
      <c r="M80" s="34">
        <v>0</v>
      </c>
      <c r="O80" s="33">
        <v>0</v>
      </c>
      <c r="P80" s="34" t="s">
        <v>66</v>
      </c>
    </row>
    <row r="83" spans="5:16">
      <c r="H83" s="6" t="s">
        <v>73</v>
      </c>
      <c r="I83" s="30"/>
      <c r="J83" s="6" t="s">
        <v>70</v>
      </c>
      <c r="K83" s="30"/>
      <c r="L83" s="6" t="s">
        <v>71</v>
      </c>
      <c r="M83" s="30"/>
      <c r="O83" s="6" t="s">
        <v>72</v>
      </c>
      <c r="P83" s="30"/>
    </row>
    <row r="84" spans="5:16">
      <c r="H84" s="31">
        <v>0</v>
      </c>
      <c r="I84" s="32" t="s">
        <v>64</v>
      </c>
      <c r="J84" s="31" t="s">
        <v>65</v>
      </c>
      <c r="K84" s="32" t="s">
        <v>66</v>
      </c>
      <c r="L84" s="31" t="s">
        <v>67</v>
      </c>
      <c r="M84" s="32">
        <v>0</v>
      </c>
      <c r="N84" s="29"/>
      <c r="O84" s="35" t="s">
        <v>82</v>
      </c>
      <c r="P84" s="36" t="s">
        <v>82</v>
      </c>
    </row>
    <row r="85" spans="5:16">
      <c r="E85" t="s">
        <v>68</v>
      </c>
      <c r="F85" t="s">
        <v>81</v>
      </c>
      <c r="H85" s="31">
        <v>0</v>
      </c>
      <c r="I85" s="32" t="s">
        <v>64</v>
      </c>
      <c r="J85" s="31" t="s">
        <v>65</v>
      </c>
      <c r="K85" s="32" t="s">
        <v>66</v>
      </c>
      <c r="L85" s="31">
        <v>0</v>
      </c>
      <c r="M85" s="32" t="s">
        <v>67</v>
      </c>
      <c r="N85" s="29"/>
      <c r="O85" s="35" t="s">
        <v>82</v>
      </c>
      <c r="P85" s="36" t="s">
        <v>82</v>
      </c>
    </row>
    <row r="86" spans="5:16">
      <c r="E86" t="s">
        <v>68</v>
      </c>
      <c r="F86" t="s">
        <v>69</v>
      </c>
      <c r="H86" s="31">
        <v>0</v>
      </c>
      <c r="I86" s="32" t="s">
        <v>64</v>
      </c>
      <c r="J86" s="31" t="s">
        <v>65</v>
      </c>
      <c r="K86" s="32" t="s">
        <v>66</v>
      </c>
      <c r="L86" s="31">
        <v>0</v>
      </c>
      <c r="M86" s="32" t="s">
        <v>67</v>
      </c>
      <c r="N86" s="29"/>
      <c r="O86" s="31" t="s">
        <v>66</v>
      </c>
      <c r="P86" s="32" t="s">
        <v>65</v>
      </c>
    </row>
    <row r="87" spans="5:16">
      <c r="E87" t="s">
        <v>75</v>
      </c>
      <c r="F87" t="s">
        <v>83</v>
      </c>
      <c r="H87" s="31">
        <v>0</v>
      </c>
      <c r="I87" s="32" t="s">
        <v>64</v>
      </c>
      <c r="J87" s="31" t="s">
        <v>65</v>
      </c>
      <c r="K87" s="32" t="s">
        <v>66</v>
      </c>
      <c r="L87" s="31">
        <v>0</v>
      </c>
      <c r="M87" s="32" t="s">
        <v>67</v>
      </c>
      <c r="N87" s="29"/>
      <c r="O87" s="31" t="s">
        <v>66</v>
      </c>
      <c r="P87" s="32">
        <v>0</v>
      </c>
    </row>
    <row r="88" spans="5:16">
      <c r="E88" t="s">
        <v>78</v>
      </c>
      <c r="F88" t="s">
        <v>81</v>
      </c>
      <c r="H88" s="31">
        <v>0</v>
      </c>
      <c r="I88" s="32" t="s">
        <v>64</v>
      </c>
      <c r="J88" s="31" t="s">
        <v>65</v>
      </c>
      <c r="K88" s="32" t="s">
        <v>66</v>
      </c>
      <c r="L88" s="31" t="s">
        <v>66</v>
      </c>
      <c r="M88" s="32" t="s">
        <v>67</v>
      </c>
      <c r="N88" s="29"/>
      <c r="O88" s="31" t="s">
        <v>66</v>
      </c>
      <c r="P88" s="32">
        <v>0</v>
      </c>
    </row>
    <row r="89" spans="5:16">
      <c r="E89" t="s">
        <v>68</v>
      </c>
      <c r="F89" t="s">
        <v>80</v>
      </c>
      <c r="H89" s="31">
        <v>0</v>
      </c>
      <c r="I89" s="32" t="s">
        <v>64</v>
      </c>
      <c r="J89" s="31" t="s">
        <v>66</v>
      </c>
      <c r="K89" s="32" t="s">
        <v>65</v>
      </c>
      <c r="L89" s="31" t="s">
        <v>66</v>
      </c>
      <c r="M89" s="32" t="s">
        <v>67</v>
      </c>
      <c r="N89" s="29"/>
      <c r="O89" s="31" t="s">
        <v>66</v>
      </c>
      <c r="P89" s="32">
        <v>0</v>
      </c>
    </row>
    <row r="90" spans="5:16">
      <c r="E90" t="s">
        <v>79</v>
      </c>
      <c r="F90" t="s">
        <v>80</v>
      </c>
      <c r="H90" s="31">
        <v>0</v>
      </c>
      <c r="I90" s="32" t="s">
        <v>64</v>
      </c>
      <c r="J90" s="31">
        <v>0</v>
      </c>
      <c r="K90" s="32" t="s">
        <v>65</v>
      </c>
      <c r="L90" s="31" t="s">
        <v>66</v>
      </c>
      <c r="M90" s="32" t="s">
        <v>67</v>
      </c>
      <c r="N90" s="29"/>
      <c r="O90" s="31" t="s">
        <v>66</v>
      </c>
      <c r="P90" s="32">
        <v>0</v>
      </c>
    </row>
    <row r="91" spans="5:16">
      <c r="E91" t="s">
        <v>68</v>
      </c>
      <c r="F91" t="s">
        <v>84</v>
      </c>
      <c r="H91" s="31">
        <v>0</v>
      </c>
      <c r="I91" s="32" t="s">
        <v>64</v>
      </c>
      <c r="J91" s="31">
        <v>0</v>
      </c>
      <c r="K91" s="32" t="s">
        <v>65</v>
      </c>
      <c r="L91" s="31" t="s">
        <v>66</v>
      </c>
      <c r="M91" s="32" t="s">
        <v>67</v>
      </c>
      <c r="N91" s="29"/>
      <c r="O91" s="31" t="s">
        <v>64</v>
      </c>
      <c r="P91" s="32">
        <v>0</v>
      </c>
    </row>
    <row r="92" spans="5:16">
      <c r="E92" t="s">
        <v>78</v>
      </c>
      <c r="F92" t="s">
        <v>80</v>
      </c>
      <c r="H92" s="31">
        <v>0</v>
      </c>
      <c r="I92" s="32" t="s">
        <v>64</v>
      </c>
      <c r="J92" s="31" t="s">
        <v>64</v>
      </c>
      <c r="K92" s="32" t="s">
        <v>65</v>
      </c>
      <c r="L92" s="31" t="s">
        <v>66</v>
      </c>
      <c r="M92" s="32" t="s">
        <v>67</v>
      </c>
      <c r="O92" s="31" t="s">
        <v>64</v>
      </c>
      <c r="P92" s="32">
        <v>0</v>
      </c>
    </row>
    <row r="93" spans="5:16">
      <c r="E93" t="s">
        <v>85</v>
      </c>
      <c r="F93" t="s">
        <v>73</v>
      </c>
      <c r="H93" s="31">
        <v>0</v>
      </c>
      <c r="I93" s="32">
        <v>0</v>
      </c>
      <c r="J93" s="31" t="s">
        <v>64</v>
      </c>
      <c r="K93" s="32" t="s">
        <v>65</v>
      </c>
      <c r="L93" s="31" t="s">
        <v>66</v>
      </c>
      <c r="M93" s="32" t="s">
        <v>67</v>
      </c>
      <c r="O93" s="31" t="s">
        <v>64</v>
      </c>
      <c r="P93" s="32">
        <v>0</v>
      </c>
    </row>
    <row r="94" spans="5:16">
      <c r="H94" s="33"/>
      <c r="I94" s="34"/>
      <c r="J94" s="33"/>
      <c r="K94" s="34"/>
      <c r="L94" s="33"/>
      <c r="M94" s="34"/>
      <c r="O94" s="33"/>
      <c r="P9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VTrip</vt:lpstr>
      <vt:lpstr>LEDS</vt:lpstr>
      <vt:lpstr>ITrip</vt:lpstr>
      <vt:lpstr>Fixed Point</vt:lpstr>
      <vt:lpstr>Vcc</vt:lpstr>
    </vt:vector>
  </TitlesOfParts>
  <Company>Northgate 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Porteous</dc:creator>
  <cp:lastModifiedBy>Bruce Porteous</cp:lastModifiedBy>
  <dcterms:created xsi:type="dcterms:W3CDTF">2011-11-14T22:12:02Z</dcterms:created>
  <dcterms:modified xsi:type="dcterms:W3CDTF">2012-06-08T14:36:01Z</dcterms:modified>
</cp:coreProperties>
</file>