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6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7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tables/table8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Bruna Rocha\Documents\Excel Udemy\"/>
    </mc:Choice>
  </mc:AlternateContent>
  <xr:revisionPtr revIDLastSave="0" documentId="13_ncr:1_{111087B9-C572-495E-A3C4-2272DB80EA00}" xr6:coauthVersionLast="47" xr6:coauthVersionMax="47" xr10:uidLastSave="{00000000-0000-0000-0000-000000000000}"/>
  <bookViews>
    <workbookView xWindow="-120" yWindow="-120" windowWidth="20730" windowHeight="11160" firstSheet="5" activeTab="6" xr2:uid="{C219264D-8F6E-4C3B-99C3-928EA40084CF}"/>
  </bookViews>
  <sheets>
    <sheet name="Menu" sheetId="1" r:id="rId1"/>
    <sheet name="Despesas" sheetId="2" r:id="rId2"/>
    <sheet name="Compras Mercadorias" sheetId="3" r:id="rId3"/>
    <sheet name="Investimentos" sheetId="5" r:id="rId4"/>
    <sheet name="Controle de Estoque" sheetId="4" r:id="rId5"/>
    <sheet name="Resultados" sheetId="6" r:id="rId6"/>
    <sheet name="Vendas" sheetId="7" r:id="rId7"/>
    <sheet name="Sem1" sheetId="8" r:id="rId8"/>
    <sheet name="Análise Sem1" sheetId="21" r:id="rId9"/>
    <sheet name="Sem2" sheetId="10" r:id="rId10"/>
    <sheet name="Análise Sem 2" sheetId="22" r:id="rId11"/>
    <sheet name="Sem3" sheetId="12" r:id="rId12"/>
    <sheet name="Análise Sem 3" sheetId="23" r:id="rId13"/>
    <sheet name="Sem4" sheetId="14" r:id="rId14"/>
    <sheet name="Análise Sem 4" sheetId="24" r:id="rId15"/>
    <sheet name="cálculos" sheetId="18" state="hidden" r:id="rId16"/>
  </sheets>
  <calcPr calcId="191029"/>
  <pivotCaches>
    <pivotCache cacheId="0" r:id="rId17"/>
    <pivotCache cacheId="1" r:id="rId18"/>
    <pivotCache cacheId="2" r:id="rId19"/>
    <pivotCache cacheId="3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" i="6" l="1"/>
  <c r="D28" i="7"/>
  <c r="M568" i="14"/>
  <c r="D27" i="7" l="1"/>
  <c r="D26" i="7"/>
  <c r="M569" i="14"/>
  <c r="M55" i="12"/>
  <c r="M34" i="10"/>
  <c r="M40" i="8"/>
  <c r="D45" i="7"/>
  <c r="D46" i="7"/>
  <c r="D47" i="7"/>
  <c r="D48" i="7"/>
  <c r="D44" i="7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5" i="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K50" i="14"/>
  <c r="K51" i="14"/>
  <c r="K52" i="14"/>
  <c r="K53" i="14"/>
  <c r="K54" i="14"/>
  <c r="K55" i="14"/>
  <c r="K56" i="14"/>
  <c r="K57" i="14"/>
  <c r="K58" i="14"/>
  <c r="K59" i="14"/>
  <c r="K60" i="14"/>
  <c r="K61" i="14"/>
  <c r="K62" i="14"/>
  <c r="K63" i="14"/>
  <c r="K64" i="14"/>
  <c r="K65" i="14"/>
  <c r="K66" i="14"/>
  <c r="K67" i="14"/>
  <c r="K68" i="14"/>
  <c r="K69" i="14"/>
  <c r="K70" i="14"/>
  <c r="K71" i="14"/>
  <c r="K72" i="14"/>
  <c r="K73" i="14"/>
  <c r="K74" i="14"/>
  <c r="K75" i="14"/>
  <c r="K76" i="14"/>
  <c r="K77" i="14"/>
  <c r="K78" i="14"/>
  <c r="K79" i="14"/>
  <c r="K80" i="14"/>
  <c r="K81" i="14"/>
  <c r="K82" i="14"/>
  <c r="K83" i="14"/>
  <c r="K84" i="14"/>
  <c r="K85" i="14"/>
  <c r="K86" i="14"/>
  <c r="K87" i="14"/>
  <c r="K88" i="14"/>
  <c r="K89" i="14"/>
  <c r="K90" i="14"/>
  <c r="K91" i="14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174" i="14"/>
  <c r="K175" i="14"/>
  <c r="K176" i="14"/>
  <c r="K177" i="14"/>
  <c r="K178" i="14"/>
  <c r="K179" i="14"/>
  <c r="K180" i="14"/>
  <c r="K181" i="14"/>
  <c r="K182" i="14"/>
  <c r="K183" i="14"/>
  <c r="K184" i="14"/>
  <c r="K185" i="14"/>
  <c r="K186" i="14"/>
  <c r="K187" i="14"/>
  <c r="K188" i="14"/>
  <c r="K189" i="14"/>
  <c r="K190" i="14"/>
  <c r="K191" i="14"/>
  <c r="K192" i="14"/>
  <c r="K193" i="14"/>
  <c r="K194" i="14"/>
  <c r="K195" i="14"/>
  <c r="K196" i="14"/>
  <c r="K197" i="14"/>
  <c r="K198" i="14"/>
  <c r="K199" i="14"/>
  <c r="K200" i="14"/>
  <c r="K201" i="14"/>
  <c r="K202" i="14"/>
  <c r="K203" i="14"/>
  <c r="K204" i="14"/>
  <c r="K205" i="14"/>
  <c r="K206" i="14"/>
  <c r="K207" i="14"/>
  <c r="K208" i="14"/>
  <c r="K209" i="14"/>
  <c r="K210" i="14"/>
  <c r="K211" i="14"/>
  <c r="K212" i="14"/>
  <c r="K213" i="14"/>
  <c r="K214" i="14"/>
  <c r="K215" i="14"/>
  <c r="K216" i="14"/>
  <c r="K217" i="14"/>
  <c r="K218" i="14"/>
  <c r="K219" i="14"/>
  <c r="K220" i="14"/>
  <c r="K221" i="14"/>
  <c r="K222" i="14"/>
  <c r="K223" i="14"/>
  <c r="K224" i="14"/>
  <c r="K225" i="14"/>
  <c r="K226" i="14"/>
  <c r="K227" i="14"/>
  <c r="K228" i="14"/>
  <c r="K229" i="14"/>
  <c r="K230" i="14"/>
  <c r="K231" i="14"/>
  <c r="K232" i="14"/>
  <c r="K233" i="14"/>
  <c r="K234" i="14"/>
  <c r="K235" i="14"/>
  <c r="K236" i="14"/>
  <c r="K237" i="14"/>
  <c r="K238" i="14"/>
  <c r="K239" i="14"/>
  <c r="K240" i="14"/>
  <c r="K241" i="14"/>
  <c r="K242" i="14"/>
  <c r="K243" i="14"/>
  <c r="K244" i="14"/>
  <c r="K245" i="14"/>
  <c r="K246" i="14"/>
  <c r="K247" i="14"/>
  <c r="K248" i="14"/>
  <c r="K249" i="14"/>
  <c r="K250" i="14"/>
  <c r="K251" i="14"/>
  <c r="K252" i="14"/>
  <c r="K253" i="14"/>
  <c r="K254" i="14"/>
  <c r="K255" i="14"/>
  <c r="K256" i="14"/>
  <c r="K257" i="14"/>
  <c r="K258" i="14"/>
  <c r="K259" i="14"/>
  <c r="K260" i="14"/>
  <c r="K261" i="14"/>
  <c r="K262" i="14"/>
  <c r="K263" i="14"/>
  <c r="K264" i="14"/>
  <c r="K265" i="14"/>
  <c r="K266" i="14"/>
  <c r="K267" i="14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16" i="14"/>
  <c r="K317" i="14"/>
  <c r="K318" i="14"/>
  <c r="K319" i="14"/>
  <c r="K320" i="14"/>
  <c r="K321" i="14"/>
  <c r="K322" i="14"/>
  <c r="K323" i="14"/>
  <c r="K324" i="14"/>
  <c r="K325" i="14"/>
  <c r="K326" i="14"/>
  <c r="K327" i="14"/>
  <c r="K328" i="14"/>
  <c r="K329" i="14"/>
  <c r="K330" i="14"/>
  <c r="K331" i="14"/>
  <c r="K332" i="14"/>
  <c r="K333" i="14"/>
  <c r="K334" i="14"/>
  <c r="K335" i="14"/>
  <c r="K336" i="14"/>
  <c r="K337" i="14"/>
  <c r="K338" i="14"/>
  <c r="K339" i="14"/>
  <c r="K340" i="14"/>
  <c r="K341" i="14"/>
  <c r="K342" i="14"/>
  <c r="K343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11" i="14"/>
  <c r="K412" i="14"/>
  <c r="K413" i="14"/>
  <c r="K414" i="14"/>
  <c r="K415" i="14"/>
  <c r="K416" i="14"/>
  <c r="K417" i="14"/>
  <c r="K418" i="14"/>
  <c r="K419" i="14"/>
  <c r="K420" i="14"/>
  <c r="K421" i="14"/>
  <c r="K422" i="14"/>
  <c r="K423" i="14"/>
  <c r="K424" i="14"/>
  <c r="K425" i="14"/>
  <c r="K426" i="14"/>
  <c r="K427" i="14"/>
  <c r="K428" i="14"/>
  <c r="K429" i="14"/>
  <c r="K430" i="14"/>
  <c r="K431" i="14"/>
  <c r="K432" i="14"/>
  <c r="K433" i="14"/>
  <c r="K434" i="14"/>
  <c r="K435" i="14"/>
  <c r="K436" i="14"/>
  <c r="K437" i="14"/>
  <c r="K438" i="14"/>
  <c r="K439" i="14"/>
  <c r="K440" i="14"/>
  <c r="K441" i="14"/>
  <c r="K442" i="14"/>
  <c r="K443" i="14"/>
  <c r="K444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" i="12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" i="8"/>
  <c r="G29" i="4"/>
  <c r="H29" i="4" s="1"/>
  <c r="E6" i="3"/>
  <c r="G6" i="3"/>
  <c r="I6" i="3" s="1"/>
  <c r="E7" i="3"/>
  <c r="G7" i="3"/>
  <c r="I7" i="3" s="1"/>
  <c r="E8" i="3"/>
  <c r="G8" i="3"/>
  <c r="I8" i="3" s="1"/>
  <c r="E9" i="3"/>
  <c r="G9" i="3"/>
  <c r="I9" i="3" s="1"/>
  <c r="E10" i="3"/>
  <c r="G10" i="3"/>
  <c r="I10" i="3" s="1"/>
  <c r="E11" i="3"/>
  <c r="G11" i="3"/>
  <c r="I11" i="3" s="1"/>
  <c r="E12" i="3"/>
  <c r="G12" i="3"/>
  <c r="I12" i="3" s="1"/>
  <c r="E13" i="3"/>
  <c r="G13" i="3"/>
  <c r="I13" i="3" s="1"/>
  <c r="E14" i="3"/>
  <c r="G14" i="3"/>
  <c r="I14" i="3" s="1"/>
  <c r="E15" i="3"/>
  <c r="G15" i="3"/>
  <c r="I15" i="3" s="1"/>
  <c r="E16" i="3"/>
  <c r="G16" i="3"/>
  <c r="I16" i="3" s="1"/>
  <c r="E17" i="3"/>
  <c r="G17" i="3"/>
  <c r="I17" i="3" s="1"/>
  <c r="E18" i="3"/>
  <c r="G18" i="3"/>
  <c r="I18" i="3" s="1"/>
  <c r="E19" i="3"/>
  <c r="G19" i="3"/>
  <c r="I19" i="3" s="1"/>
  <c r="E20" i="3"/>
  <c r="G20" i="3"/>
  <c r="I20" i="3" s="1"/>
  <c r="E21" i="3"/>
  <c r="G21" i="3"/>
  <c r="I21" i="3" s="1"/>
  <c r="E22" i="3"/>
  <c r="G22" i="3"/>
  <c r="I22" i="3" s="1"/>
  <c r="E23" i="3"/>
  <c r="G23" i="3"/>
  <c r="I23" i="3" s="1"/>
  <c r="E24" i="3"/>
  <c r="G24" i="3"/>
  <c r="I24" i="3" s="1"/>
  <c r="E25" i="3"/>
  <c r="G25" i="3"/>
  <c r="I25" i="3" s="1"/>
  <c r="E26" i="3"/>
  <c r="G26" i="3"/>
  <c r="I26" i="3" s="1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K11" i="8"/>
  <c r="K12" i="8"/>
  <c r="K6" i="8"/>
  <c r="K7" i="8"/>
  <c r="K8" i="8"/>
  <c r="K9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10" i="8"/>
  <c r="K7" i="10"/>
  <c r="M6" i="8"/>
  <c r="M7" i="8"/>
  <c r="M8" i="8"/>
  <c r="M10" i="8"/>
  <c r="M13" i="8"/>
  <c r="M14" i="8"/>
  <c r="M15" i="8"/>
  <c r="M16" i="8"/>
  <c r="M17" i="8"/>
  <c r="M20" i="8"/>
  <c r="M22" i="8"/>
  <c r="M27" i="8"/>
  <c r="M28" i="8"/>
  <c r="M29" i="8"/>
  <c r="M31" i="8"/>
  <c r="M36" i="8"/>
  <c r="M5" i="8"/>
  <c r="E5" i="8"/>
  <c r="G5" i="8"/>
  <c r="H5" i="8" s="1"/>
  <c r="E6" i="8"/>
  <c r="G6" i="8"/>
  <c r="H6" i="8" s="1"/>
  <c r="E7" i="8"/>
  <c r="G7" i="8"/>
  <c r="H7" i="8" s="1"/>
  <c r="E8" i="8"/>
  <c r="G8" i="8"/>
  <c r="H8" i="8" s="1"/>
  <c r="E9" i="8"/>
  <c r="G9" i="8"/>
  <c r="H9" i="8" s="1"/>
  <c r="E27" i="3"/>
  <c r="G27" i="3"/>
  <c r="I27" i="3" s="1"/>
  <c r="E28" i="3"/>
  <c r="G28" i="3"/>
  <c r="I28" i="3" s="1"/>
  <c r="E29" i="3"/>
  <c r="G29" i="3"/>
  <c r="I29" i="3" s="1"/>
  <c r="E30" i="3"/>
  <c r="G30" i="3"/>
  <c r="I30" i="3" s="1"/>
  <c r="E31" i="3"/>
  <c r="G31" i="3"/>
  <c r="I31" i="3" s="1"/>
  <c r="E32" i="3"/>
  <c r="G32" i="3"/>
  <c r="I32" i="3" s="1"/>
  <c r="E33" i="3"/>
  <c r="G33" i="3"/>
  <c r="I33" i="3" s="1"/>
  <c r="E34" i="3"/>
  <c r="G34" i="3"/>
  <c r="I34" i="3" s="1"/>
  <c r="E35" i="3"/>
  <c r="G35" i="3"/>
  <c r="I35" i="3" s="1"/>
  <c r="E36" i="3"/>
  <c r="G36" i="3"/>
  <c r="I36" i="3" s="1"/>
  <c r="E37" i="3"/>
  <c r="G37" i="3"/>
  <c r="I37" i="3" s="1"/>
  <c r="E38" i="3"/>
  <c r="G38" i="3"/>
  <c r="I38" i="3" s="1"/>
  <c r="E39" i="3"/>
  <c r="G39" i="3"/>
  <c r="I39" i="3" s="1"/>
  <c r="E40" i="3"/>
  <c r="G40" i="3"/>
  <c r="I40" i="3" s="1"/>
  <c r="E41" i="3"/>
  <c r="G41" i="3"/>
  <c r="I41" i="3" s="1"/>
  <c r="E42" i="3"/>
  <c r="G42" i="3"/>
  <c r="I42" i="3" s="1"/>
  <c r="E43" i="3"/>
  <c r="G43" i="3"/>
  <c r="I43" i="3" s="1"/>
  <c r="E44" i="3"/>
  <c r="G44" i="3"/>
  <c r="I44" i="3" s="1"/>
  <c r="E45" i="3"/>
  <c r="G45" i="3"/>
  <c r="I45" i="3" s="1"/>
  <c r="E46" i="3"/>
  <c r="G46" i="3"/>
  <c r="I46" i="3" s="1"/>
  <c r="E47" i="3"/>
  <c r="G47" i="3"/>
  <c r="I47" i="3" s="1"/>
  <c r="E48" i="3"/>
  <c r="G48" i="3"/>
  <c r="I48" i="3" s="1"/>
  <c r="E19" i="6"/>
  <c r="E15" i="6"/>
  <c r="M570" i="14" a="1"/>
  <c r="M570" i="14" s="1"/>
  <c r="M35" i="10" a="1"/>
  <c r="M35" i="10" s="1"/>
  <c r="C16" i="7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7" i="14"/>
  <c r="M28" i="14"/>
  <c r="M29" i="14"/>
  <c r="M30" i="14"/>
  <c r="M31" i="14"/>
  <c r="M33" i="14"/>
  <c r="M34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9" i="14"/>
  <c r="M50" i="14"/>
  <c r="M52" i="14"/>
  <c r="M53" i="14"/>
  <c r="M54" i="14"/>
  <c r="M55" i="14"/>
  <c r="M56" i="14"/>
  <c r="M57" i="14"/>
  <c r="M58" i="14"/>
  <c r="M59" i="14"/>
  <c r="M61" i="14"/>
  <c r="M62" i="14"/>
  <c r="M63" i="14"/>
  <c r="M64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3" i="14"/>
  <c r="M84" i="14"/>
  <c r="M85" i="14"/>
  <c r="M86" i="14"/>
  <c r="M88" i="14"/>
  <c r="M89" i="14"/>
  <c r="M90" i="14"/>
  <c r="M91" i="14"/>
  <c r="M92" i="14"/>
  <c r="M93" i="14"/>
  <c r="M94" i="14"/>
  <c r="M96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7" i="14"/>
  <c r="M118" i="14"/>
  <c r="M119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4" i="14"/>
  <c r="M135" i="14"/>
  <c r="M136" i="14"/>
  <c r="M137" i="14"/>
  <c r="M138" i="14"/>
  <c r="M139" i="14"/>
  <c r="M140" i="14"/>
  <c r="M141" i="14"/>
  <c r="M142" i="14"/>
  <c r="M143" i="14"/>
  <c r="M144" i="14"/>
  <c r="M146" i="14"/>
  <c r="M148" i="14"/>
  <c r="M149" i="14"/>
  <c r="M150" i="14"/>
  <c r="M151" i="14"/>
  <c r="M152" i="14"/>
  <c r="M153" i="14"/>
  <c r="M154" i="14"/>
  <c r="M155" i="14"/>
  <c r="M156" i="14"/>
  <c r="M157" i="14"/>
  <c r="M158" i="14"/>
  <c r="M160" i="14"/>
  <c r="M161" i="14"/>
  <c r="M162" i="14"/>
  <c r="M163" i="14"/>
  <c r="M164" i="14"/>
  <c r="M165" i="14"/>
  <c r="M166" i="14"/>
  <c r="M167" i="14"/>
  <c r="M168" i="14"/>
  <c r="M169" i="14"/>
  <c r="M171" i="14"/>
  <c r="M172" i="14"/>
  <c r="M173" i="14"/>
  <c r="M174" i="14"/>
  <c r="M176" i="14"/>
  <c r="M178" i="14"/>
  <c r="M179" i="14"/>
  <c r="M180" i="14"/>
  <c r="M181" i="14"/>
  <c r="M183" i="14"/>
  <c r="M186" i="14"/>
  <c r="M187" i="14"/>
  <c r="M188" i="14"/>
  <c r="M189" i="14"/>
  <c r="M191" i="14"/>
  <c r="M192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1" i="14"/>
  <c r="M212" i="14"/>
  <c r="M213" i="14"/>
  <c r="M214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4" i="14"/>
  <c r="M236" i="14"/>
  <c r="M237" i="14"/>
  <c r="M238" i="14"/>
  <c r="M239" i="14"/>
  <c r="M240" i="14"/>
  <c r="M242" i="14"/>
  <c r="M243" i="14"/>
  <c r="M244" i="14"/>
  <c r="M245" i="14"/>
  <c r="M246" i="14"/>
  <c r="M247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6" i="14"/>
  <c r="M267" i="14"/>
  <c r="M269" i="14"/>
  <c r="M271" i="14"/>
  <c r="M272" i="14"/>
  <c r="M273" i="14"/>
  <c r="M274" i="14"/>
  <c r="M275" i="14"/>
  <c r="M276" i="14"/>
  <c r="M277" i="14"/>
  <c r="M278" i="14"/>
  <c r="M27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300" i="14"/>
  <c r="M301" i="14"/>
  <c r="M302" i="14"/>
  <c r="M303" i="14"/>
  <c r="M304" i="14"/>
  <c r="M306" i="14"/>
  <c r="M308" i="14"/>
  <c r="M309" i="14"/>
  <c r="M310" i="14"/>
  <c r="M311" i="14"/>
  <c r="M312" i="14"/>
  <c r="M313" i="14"/>
  <c r="M315" i="14"/>
  <c r="M316" i="14"/>
  <c r="M318" i="14"/>
  <c r="M320" i="14"/>
  <c r="M322" i="14"/>
  <c r="M323" i="14"/>
  <c r="M324" i="14"/>
  <c r="M325" i="14"/>
  <c r="M326" i="14"/>
  <c r="M327" i="14"/>
  <c r="M328" i="14"/>
  <c r="M329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1" i="14"/>
  <c r="M352" i="14"/>
  <c r="M353" i="14"/>
  <c r="M354" i="14"/>
  <c r="M355" i="14"/>
  <c r="M357" i="14"/>
  <c r="M358" i="14"/>
  <c r="M359" i="14"/>
  <c r="M360" i="14"/>
  <c r="M361" i="14"/>
  <c r="M362" i="14"/>
  <c r="M363" i="14"/>
  <c r="M364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4" i="14"/>
  <c r="M396" i="14"/>
  <c r="M397" i="14"/>
  <c r="M398" i="14"/>
  <c r="M399" i="14"/>
  <c r="M401" i="14"/>
  <c r="M403" i="14"/>
  <c r="M407" i="14"/>
  <c r="M408" i="14"/>
  <c r="M409" i="14"/>
  <c r="M410" i="14"/>
  <c r="M411" i="14"/>
  <c r="M412" i="14"/>
  <c r="M413" i="14"/>
  <c r="M414" i="14"/>
  <c r="M415" i="14"/>
  <c r="M416" i="14"/>
  <c r="M418" i="14"/>
  <c r="M419" i="14"/>
  <c r="M421" i="14"/>
  <c r="M423" i="14"/>
  <c r="M424" i="14"/>
  <c r="M425" i="14"/>
  <c r="M426" i="14"/>
  <c r="M427" i="14"/>
  <c r="M428" i="14"/>
  <c r="M429" i="14"/>
  <c r="M430" i="14"/>
  <c r="M431" i="14"/>
  <c r="M432" i="14"/>
  <c r="M433" i="14"/>
  <c r="M435" i="14"/>
  <c r="M436" i="14"/>
  <c r="M438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8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7" i="14"/>
  <c r="M508" i="14"/>
  <c r="M509" i="14"/>
  <c r="M510" i="14"/>
  <c r="M512" i="14"/>
  <c r="M513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2" i="14"/>
  <c r="M554" i="14"/>
  <c r="M555" i="14"/>
  <c r="M556" i="14"/>
  <c r="M557" i="14"/>
  <c r="M558" i="14"/>
  <c r="M560" i="14"/>
  <c r="M561" i="14"/>
  <c r="M563" i="14"/>
  <c r="M564" i="14"/>
  <c r="M565" i="14"/>
  <c r="G566" i="14"/>
  <c r="H566" i="14" s="1"/>
  <c r="L566" i="14" s="1"/>
  <c r="E566" i="14"/>
  <c r="G565" i="14"/>
  <c r="H565" i="14" s="1"/>
  <c r="L565" i="14" s="1"/>
  <c r="E565" i="14"/>
  <c r="G564" i="14"/>
  <c r="H564" i="14" s="1"/>
  <c r="E564" i="14"/>
  <c r="G563" i="14"/>
  <c r="H563" i="14" s="1"/>
  <c r="L563" i="14" s="1"/>
  <c r="E563" i="14"/>
  <c r="G562" i="14"/>
  <c r="H562" i="14" s="1"/>
  <c r="E562" i="14"/>
  <c r="G561" i="14"/>
  <c r="H561" i="14" s="1"/>
  <c r="E561" i="14"/>
  <c r="G560" i="14"/>
  <c r="H560" i="14" s="1"/>
  <c r="E560" i="14"/>
  <c r="G559" i="14"/>
  <c r="H559" i="14" s="1"/>
  <c r="E559" i="14"/>
  <c r="G558" i="14"/>
  <c r="H558" i="14" s="1"/>
  <c r="L558" i="14" s="1"/>
  <c r="E558" i="14"/>
  <c r="G557" i="14"/>
  <c r="H557" i="14" s="1"/>
  <c r="L557" i="14" s="1"/>
  <c r="E557" i="14"/>
  <c r="G556" i="14"/>
  <c r="H556" i="14" s="1"/>
  <c r="E556" i="14"/>
  <c r="G555" i="14"/>
  <c r="H555" i="14" s="1"/>
  <c r="L555" i="14" s="1"/>
  <c r="E555" i="14"/>
  <c r="G554" i="14"/>
  <c r="H554" i="14" s="1"/>
  <c r="L554" i="14" s="1"/>
  <c r="E554" i="14"/>
  <c r="G553" i="14"/>
  <c r="H553" i="14" s="1"/>
  <c r="E553" i="14"/>
  <c r="G552" i="14"/>
  <c r="H552" i="14" s="1"/>
  <c r="E552" i="14"/>
  <c r="G551" i="14"/>
  <c r="H551" i="14" s="1"/>
  <c r="E551" i="14"/>
  <c r="G550" i="14"/>
  <c r="H550" i="14" s="1"/>
  <c r="L550" i="14" s="1"/>
  <c r="E550" i="14"/>
  <c r="G549" i="14"/>
  <c r="H549" i="14" s="1"/>
  <c r="L549" i="14" s="1"/>
  <c r="E549" i="14"/>
  <c r="G548" i="14"/>
  <c r="H548" i="14" s="1"/>
  <c r="E548" i="14"/>
  <c r="G547" i="14"/>
  <c r="H547" i="14" s="1"/>
  <c r="L547" i="14" s="1"/>
  <c r="E547" i="14"/>
  <c r="G546" i="14"/>
  <c r="H546" i="14" s="1"/>
  <c r="L546" i="14" s="1"/>
  <c r="E546" i="14"/>
  <c r="G545" i="14"/>
  <c r="H545" i="14" s="1"/>
  <c r="L545" i="14" s="1"/>
  <c r="E545" i="14"/>
  <c r="G544" i="14"/>
  <c r="H544" i="14" s="1"/>
  <c r="E544" i="14"/>
  <c r="G543" i="14"/>
  <c r="H543" i="14" s="1"/>
  <c r="L543" i="14" s="1"/>
  <c r="E543" i="14"/>
  <c r="G542" i="14"/>
  <c r="H542" i="14" s="1"/>
  <c r="L542" i="14" s="1"/>
  <c r="E542" i="14"/>
  <c r="G541" i="14"/>
  <c r="H541" i="14" s="1"/>
  <c r="L541" i="14" s="1"/>
  <c r="E541" i="14"/>
  <c r="G540" i="14"/>
  <c r="H540" i="14" s="1"/>
  <c r="E540" i="14"/>
  <c r="G539" i="14"/>
  <c r="H539" i="14" s="1"/>
  <c r="L539" i="14" s="1"/>
  <c r="E539" i="14"/>
  <c r="G538" i="14"/>
  <c r="H538" i="14" s="1"/>
  <c r="E538" i="14"/>
  <c r="G537" i="14"/>
  <c r="H537" i="14" s="1"/>
  <c r="E537" i="14"/>
  <c r="G536" i="14"/>
  <c r="H536" i="14" s="1"/>
  <c r="E536" i="14"/>
  <c r="G535" i="14"/>
  <c r="H535" i="14" s="1"/>
  <c r="E535" i="14"/>
  <c r="G534" i="14"/>
  <c r="H534" i="14" s="1"/>
  <c r="E534" i="14"/>
  <c r="G533" i="14"/>
  <c r="H533" i="14" s="1"/>
  <c r="E533" i="14"/>
  <c r="G532" i="14"/>
  <c r="H532" i="14" s="1"/>
  <c r="E532" i="14"/>
  <c r="G531" i="14"/>
  <c r="H531" i="14" s="1"/>
  <c r="E531" i="14"/>
  <c r="G530" i="14"/>
  <c r="H530" i="14" s="1"/>
  <c r="E530" i="14"/>
  <c r="G529" i="14"/>
  <c r="H529" i="14" s="1"/>
  <c r="E529" i="14"/>
  <c r="G528" i="14"/>
  <c r="H528" i="14" s="1"/>
  <c r="E528" i="14"/>
  <c r="G527" i="14"/>
  <c r="H527" i="14" s="1"/>
  <c r="E527" i="14"/>
  <c r="G526" i="14"/>
  <c r="H526" i="14" s="1"/>
  <c r="E526" i="14"/>
  <c r="G525" i="14"/>
  <c r="H525" i="14" s="1"/>
  <c r="E525" i="14"/>
  <c r="G524" i="14"/>
  <c r="H524" i="14" s="1"/>
  <c r="E524" i="14"/>
  <c r="G523" i="14"/>
  <c r="H523" i="14" s="1"/>
  <c r="E523" i="14"/>
  <c r="G522" i="14"/>
  <c r="H522" i="14" s="1"/>
  <c r="E522" i="14"/>
  <c r="G521" i="14"/>
  <c r="H521" i="14" s="1"/>
  <c r="E521" i="14"/>
  <c r="G520" i="14"/>
  <c r="H520" i="14" s="1"/>
  <c r="E520" i="14"/>
  <c r="G519" i="14"/>
  <c r="H519" i="14" s="1"/>
  <c r="E519" i="14"/>
  <c r="G518" i="14"/>
  <c r="H518" i="14" s="1"/>
  <c r="E518" i="14"/>
  <c r="G517" i="14"/>
  <c r="H517" i="14" s="1"/>
  <c r="E517" i="14"/>
  <c r="G516" i="14"/>
  <c r="H516" i="14" s="1"/>
  <c r="E516" i="14"/>
  <c r="G515" i="14"/>
  <c r="H515" i="14" s="1"/>
  <c r="E515" i="14"/>
  <c r="G514" i="14"/>
  <c r="H514" i="14" s="1"/>
  <c r="E514" i="14"/>
  <c r="G513" i="14"/>
  <c r="H513" i="14" s="1"/>
  <c r="L513" i="14" s="1"/>
  <c r="E513" i="14"/>
  <c r="G512" i="14"/>
  <c r="H512" i="14" s="1"/>
  <c r="E512" i="14"/>
  <c r="G511" i="14"/>
  <c r="H511" i="14" s="1"/>
  <c r="L511" i="14" s="1"/>
  <c r="E511" i="14"/>
  <c r="G510" i="14"/>
  <c r="H510" i="14" s="1"/>
  <c r="L510" i="14" s="1"/>
  <c r="E510" i="14"/>
  <c r="G509" i="14"/>
  <c r="H509" i="14" s="1"/>
  <c r="L509" i="14" s="1"/>
  <c r="E509" i="14"/>
  <c r="G508" i="14"/>
  <c r="H508" i="14" s="1"/>
  <c r="E508" i="14"/>
  <c r="G507" i="14"/>
  <c r="H507" i="14" s="1"/>
  <c r="L507" i="14" s="1"/>
  <c r="E507" i="14"/>
  <c r="G506" i="14"/>
  <c r="H506" i="14" s="1"/>
  <c r="E506" i="14"/>
  <c r="G505" i="14"/>
  <c r="H505" i="14" s="1"/>
  <c r="E505" i="14"/>
  <c r="G504" i="14"/>
  <c r="H504" i="14" s="1"/>
  <c r="E504" i="14"/>
  <c r="G503" i="14"/>
  <c r="H503" i="14" s="1"/>
  <c r="L503" i="14" s="1"/>
  <c r="E503" i="14"/>
  <c r="G502" i="14"/>
  <c r="H502" i="14" s="1"/>
  <c r="L502" i="14" s="1"/>
  <c r="E502" i="14"/>
  <c r="G501" i="14"/>
  <c r="H501" i="14" s="1"/>
  <c r="L501" i="14" s="1"/>
  <c r="E501" i="14"/>
  <c r="G500" i="14"/>
  <c r="H500" i="14" s="1"/>
  <c r="E500" i="14"/>
  <c r="G499" i="14"/>
  <c r="H499" i="14" s="1"/>
  <c r="L499" i="14" s="1"/>
  <c r="E499" i="14"/>
  <c r="G498" i="14"/>
  <c r="H498" i="14" s="1"/>
  <c r="L498" i="14" s="1"/>
  <c r="E498" i="14"/>
  <c r="G497" i="14"/>
  <c r="H497" i="14" s="1"/>
  <c r="L497" i="14" s="1"/>
  <c r="E497" i="14"/>
  <c r="G496" i="14"/>
  <c r="H496" i="14" s="1"/>
  <c r="E496" i="14"/>
  <c r="G495" i="14"/>
  <c r="H495" i="14" s="1"/>
  <c r="L495" i="14" s="1"/>
  <c r="E495" i="14"/>
  <c r="G494" i="14"/>
  <c r="H494" i="14" s="1"/>
  <c r="L494" i="14" s="1"/>
  <c r="E494" i="14"/>
  <c r="G493" i="14"/>
  <c r="H493" i="14" s="1"/>
  <c r="L493" i="14" s="1"/>
  <c r="E493" i="14"/>
  <c r="G492" i="14"/>
  <c r="H492" i="14" s="1"/>
  <c r="E492" i="14"/>
  <c r="G491" i="14"/>
  <c r="H491" i="14" s="1"/>
  <c r="L491" i="14" s="1"/>
  <c r="E491" i="14"/>
  <c r="G490" i="14"/>
  <c r="H490" i="14" s="1"/>
  <c r="L490" i="14" s="1"/>
  <c r="E490" i="14"/>
  <c r="G489" i="14"/>
  <c r="H489" i="14" s="1"/>
  <c r="E489" i="14"/>
  <c r="G488" i="14"/>
  <c r="H488" i="14" s="1"/>
  <c r="E488" i="14"/>
  <c r="G487" i="14"/>
  <c r="H487" i="14" s="1"/>
  <c r="L487" i="14" s="1"/>
  <c r="E487" i="14"/>
  <c r="G486" i="14"/>
  <c r="H486" i="14" s="1"/>
  <c r="L486" i="14" s="1"/>
  <c r="E486" i="14"/>
  <c r="G485" i="14"/>
  <c r="H485" i="14" s="1"/>
  <c r="L485" i="14" s="1"/>
  <c r="E485" i="14"/>
  <c r="G484" i="14"/>
  <c r="H484" i="14" s="1"/>
  <c r="E484" i="14"/>
  <c r="G483" i="14"/>
  <c r="H483" i="14" s="1"/>
  <c r="L483" i="14" s="1"/>
  <c r="E483" i="14"/>
  <c r="G482" i="14"/>
  <c r="H482" i="14" s="1"/>
  <c r="L482" i="14" s="1"/>
  <c r="E482" i="14"/>
  <c r="G481" i="14"/>
  <c r="H481" i="14" s="1"/>
  <c r="E481" i="14"/>
  <c r="G480" i="14"/>
  <c r="H480" i="14" s="1"/>
  <c r="E480" i="14"/>
  <c r="G479" i="14"/>
  <c r="H479" i="14" s="1"/>
  <c r="E479" i="14"/>
  <c r="G478" i="14"/>
  <c r="H478" i="14" s="1"/>
  <c r="E478" i="14"/>
  <c r="G477" i="14"/>
  <c r="H477" i="14" s="1"/>
  <c r="E477" i="14"/>
  <c r="G476" i="14"/>
  <c r="H476" i="14" s="1"/>
  <c r="E476" i="14"/>
  <c r="G475" i="14"/>
  <c r="H475" i="14" s="1"/>
  <c r="L475" i="14" s="1"/>
  <c r="E475" i="14"/>
  <c r="G474" i="14"/>
  <c r="H474" i="14" s="1"/>
  <c r="L474" i="14" s="1"/>
  <c r="E474" i="14"/>
  <c r="G473" i="14"/>
  <c r="H473" i="14" s="1"/>
  <c r="E473" i="14"/>
  <c r="G472" i="14"/>
  <c r="H472" i="14" s="1"/>
  <c r="E472" i="14"/>
  <c r="G471" i="14"/>
  <c r="H471" i="14" s="1"/>
  <c r="L471" i="14" s="1"/>
  <c r="E471" i="14"/>
  <c r="G470" i="14"/>
  <c r="H470" i="14" s="1"/>
  <c r="L470" i="14" s="1"/>
  <c r="E470" i="14"/>
  <c r="G469" i="14"/>
  <c r="H469" i="14" s="1"/>
  <c r="E469" i="14"/>
  <c r="G468" i="14"/>
  <c r="H468" i="14" s="1"/>
  <c r="E468" i="14"/>
  <c r="G467" i="14"/>
  <c r="H467" i="14" s="1"/>
  <c r="L467" i="14" s="1"/>
  <c r="E467" i="14"/>
  <c r="G466" i="14"/>
  <c r="H466" i="14" s="1"/>
  <c r="L466" i="14" s="1"/>
  <c r="E466" i="14"/>
  <c r="G465" i="14"/>
  <c r="H465" i="14" s="1"/>
  <c r="E465" i="14"/>
  <c r="G464" i="14"/>
  <c r="H464" i="14" s="1"/>
  <c r="E464" i="14"/>
  <c r="G463" i="14"/>
  <c r="H463" i="14" s="1"/>
  <c r="L463" i="14" s="1"/>
  <c r="E463" i="14"/>
  <c r="G462" i="14"/>
  <c r="H462" i="14" s="1"/>
  <c r="L462" i="14" s="1"/>
  <c r="E462" i="14"/>
  <c r="G461" i="14"/>
  <c r="H461" i="14" s="1"/>
  <c r="E461" i="14"/>
  <c r="G460" i="14"/>
  <c r="H460" i="14" s="1"/>
  <c r="E460" i="14"/>
  <c r="G459" i="14"/>
  <c r="H459" i="14" s="1"/>
  <c r="L459" i="14" s="1"/>
  <c r="E459" i="14"/>
  <c r="G458" i="14"/>
  <c r="H458" i="14" s="1"/>
  <c r="L458" i="14" s="1"/>
  <c r="E458" i="14"/>
  <c r="G457" i="14"/>
  <c r="H457" i="14" s="1"/>
  <c r="E457" i="14"/>
  <c r="G456" i="14"/>
  <c r="H456" i="14" s="1"/>
  <c r="E456" i="14"/>
  <c r="G455" i="14"/>
  <c r="H455" i="14" s="1"/>
  <c r="L455" i="14" s="1"/>
  <c r="E455" i="14"/>
  <c r="G454" i="14"/>
  <c r="H454" i="14" s="1"/>
  <c r="L454" i="14" s="1"/>
  <c r="E454" i="14"/>
  <c r="G453" i="14"/>
  <c r="H453" i="14" s="1"/>
  <c r="E453" i="14"/>
  <c r="G452" i="14"/>
  <c r="H452" i="14" s="1"/>
  <c r="E452" i="14"/>
  <c r="G451" i="14"/>
  <c r="H451" i="14" s="1"/>
  <c r="L451" i="14" s="1"/>
  <c r="E451" i="14"/>
  <c r="G450" i="14"/>
  <c r="H450" i="14" s="1"/>
  <c r="L450" i="14" s="1"/>
  <c r="E450" i="14"/>
  <c r="G449" i="14"/>
  <c r="H449" i="14" s="1"/>
  <c r="E449" i="14"/>
  <c r="G448" i="14"/>
  <c r="H448" i="14" s="1"/>
  <c r="E448" i="14"/>
  <c r="G447" i="14"/>
  <c r="H447" i="14" s="1"/>
  <c r="L447" i="14" s="1"/>
  <c r="E447" i="14"/>
  <c r="G446" i="14"/>
  <c r="H446" i="14" s="1"/>
  <c r="L446" i="14" s="1"/>
  <c r="E446" i="14"/>
  <c r="G445" i="14"/>
  <c r="H445" i="14" s="1"/>
  <c r="E445" i="14"/>
  <c r="G444" i="14"/>
  <c r="H444" i="14" s="1"/>
  <c r="E444" i="14"/>
  <c r="G443" i="14"/>
  <c r="H443" i="14" s="1"/>
  <c r="L443" i="14" s="1"/>
  <c r="E443" i="14"/>
  <c r="G442" i="14"/>
  <c r="H442" i="14" s="1"/>
  <c r="L442" i="14" s="1"/>
  <c r="E442" i="14"/>
  <c r="G441" i="14"/>
  <c r="H441" i="14" s="1"/>
  <c r="E441" i="14"/>
  <c r="G440" i="14"/>
  <c r="H440" i="14" s="1"/>
  <c r="E440" i="14"/>
  <c r="G439" i="14"/>
  <c r="H439" i="14" s="1"/>
  <c r="E439" i="14"/>
  <c r="G438" i="14"/>
  <c r="H438" i="14" s="1"/>
  <c r="E438" i="14"/>
  <c r="G437" i="14"/>
  <c r="H437" i="14" s="1"/>
  <c r="E437" i="14"/>
  <c r="G436" i="14"/>
  <c r="H436" i="14" s="1"/>
  <c r="E436" i="14"/>
  <c r="G435" i="14"/>
  <c r="H435" i="14" s="1"/>
  <c r="L435" i="14" s="1"/>
  <c r="E435" i="14"/>
  <c r="G434" i="14"/>
  <c r="H434" i="14" s="1"/>
  <c r="E434" i="14"/>
  <c r="G433" i="14"/>
  <c r="H433" i="14" s="1"/>
  <c r="E433" i="14"/>
  <c r="G432" i="14"/>
  <c r="H432" i="14" s="1"/>
  <c r="E432" i="14"/>
  <c r="G431" i="14"/>
  <c r="H431" i="14" s="1"/>
  <c r="E431" i="14"/>
  <c r="G430" i="14"/>
  <c r="H430" i="14" s="1"/>
  <c r="E430" i="14"/>
  <c r="G429" i="14"/>
  <c r="H429" i="14" s="1"/>
  <c r="E429" i="14"/>
  <c r="G428" i="14"/>
  <c r="H428" i="14" s="1"/>
  <c r="E428" i="14"/>
  <c r="G427" i="14"/>
  <c r="H427" i="14" s="1"/>
  <c r="E427" i="14"/>
  <c r="G426" i="14"/>
  <c r="H426" i="14" s="1"/>
  <c r="E426" i="14"/>
  <c r="G425" i="14"/>
  <c r="H425" i="14" s="1"/>
  <c r="E425" i="14"/>
  <c r="G424" i="14"/>
  <c r="H424" i="14" s="1"/>
  <c r="E424" i="14"/>
  <c r="G423" i="14"/>
  <c r="H423" i="14" s="1"/>
  <c r="E423" i="14"/>
  <c r="G422" i="14"/>
  <c r="H422" i="14" s="1"/>
  <c r="E422" i="14"/>
  <c r="G421" i="14"/>
  <c r="H421" i="14" s="1"/>
  <c r="E421" i="14"/>
  <c r="G420" i="14"/>
  <c r="H420" i="14" s="1"/>
  <c r="E420" i="14"/>
  <c r="G419" i="14"/>
  <c r="H419" i="14" s="1"/>
  <c r="L419" i="14" s="1"/>
  <c r="E419" i="14"/>
  <c r="G418" i="14"/>
  <c r="H418" i="14" s="1"/>
  <c r="E418" i="14"/>
  <c r="G417" i="14"/>
  <c r="H417" i="14" s="1"/>
  <c r="E417" i="14"/>
  <c r="G416" i="14"/>
  <c r="H416" i="14" s="1"/>
  <c r="E416" i="14"/>
  <c r="G415" i="14"/>
  <c r="H415" i="14" s="1"/>
  <c r="E415" i="14"/>
  <c r="G414" i="14"/>
  <c r="H414" i="14" s="1"/>
  <c r="E414" i="14"/>
  <c r="G413" i="14"/>
  <c r="H413" i="14" s="1"/>
  <c r="L413" i="14" s="1"/>
  <c r="E413" i="14"/>
  <c r="G412" i="14"/>
  <c r="H412" i="14" s="1"/>
  <c r="E412" i="14"/>
  <c r="G411" i="14"/>
  <c r="H411" i="14" s="1"/>
  <c r="E411" i="14"/>
  <c r="G410" i="14"/>
  <c r="H410" i="14" s="1"/>
  <c r="E410" i="14"/>
  <c r="G409" i="14"/>
  <c r="H409" i="14" s="1"/>
  <c r="L409" i="14" s="1"/>
  <c r="E409" i="14"/>
  <c r="G408" i="14"/>
  <c r="H408" i="14" s="1"/>
  <c r="E408" i="14"/>
  <c r="G407" i="14"/>
  <c r="H407" i="14" s="1"/>
  <c r="E407" i="14"/>
  <c r="G406" i="14"/>
  <c r="H406" i="14" s="1"/>
  <c r="E406" i="14"/>
  <c r="G405" i="14"/>
  <c r="H405" i="14" s="1"/>
  <c r="E405" i="14"/>
  <c r="G404" i="14"/>
  <c r="H404" i="14" s="1"/>
  <c r="E404" i="14"/>
  <c r="G403" i="14"/>
  <c r="H403" i="14" s="1"/>
  <c r="L403" i="14" s="1"/>
  <c r="E403" i="14"/>
  <c r="G402" i="14"/>
  <c r="H402" i="14" s="1"/>
  <c r="E402" i="14"/>
  <c r="G401" i="14"/>
  <c r="H401" i="14" s="1"/>
  <c r="L401" i="14" s="1"/>
  <c r="E401" i="14"/>
  <c r="G400" i="14"/>
  <c r="H400" i="14" s="1"/>
  <c r="E400" i="14"/>
  <c r="G399" i="14"/>
  <c r="H399" i="14" s="1"/>
  <c r="E399" i="14"/>
  <c r="G398" i="14"/>
  <c r="H398" i="14" s="1"/>
  <c r="E398" i="14"/>
  <c r="G397" i="14"/>
  <c r="H397" i="14" s="1"/>
  <c r="E397" i="14"/>
  <c r="G396" i="14"/>
  <c r="H396" i="14" s="1"/>
  <c r="E396" i="14"/>
  <c r="G395" i="14"/>
  <c r="H395" i="14" s="1"/>
  <c r="E395" i="14"/>
  <c r="G394" i="14"/>
  <c r="H394" i="14" s="1"/>
  <c r="E394" i="14"/>
  <c r="G393" i="14"/>
  <c r="H393" i="14" s="1"/>
  <c r="L393" i="14" s="1"/>
  <c r="E393" i="14"/>
  <c r="G392" i="14"/>
  <c r="H392" i="14" s="1"/>
  <c r="E392" i="14"/>
  <c r="G391" i="14"/>
  <c r="H391" i="14" s="1"/>
  <c r="L391" i="14" s="1"/>
  <c r="E391" i="14"/>
  <c r="G390" i="14"/>
  <c r="H390" i="14" s="1"/>
  <c r="E390" i="14"/>
  <c r="G389" i="14"/>
  <c r="H389" i="14" s="1"/>
  <c r="E389" i="14"/>
  <c r="G388" i="14"/>
  <c r="H388" i="14" s="1"/>
  <c r="E388" i="14"/>
  <c r="G387" i="14"/>
  <c r="H387" i="14" s="1"/>
  <c r="L387" i="14" s="1"/>
  <c r="E387" i="14"/>
  <c r="G386" i="14"/>
  <c r="H386" i="14" s="1"/>
  <c r="E386" i="14"/>
  <c r="G385" i="14"/>
  <c r="H385" i="14" s="1"/>
  <c r="L385" i="14" s="1"/>
  <c r="E385" i="14"/>
  <c r="G384" i="14"/>
  <c r="H384" i="14" s="1"/>
  <c r="E384" i="14"/>
  <c r="G383" i="14"/>
  <c r="H383" i="14" s="1"/>
  <c r="L383" i="14" s="1"/>
  <c r="E383" i="14"/>
  <c r="G382" i="14"/>
  <c r="H382" i="14" s="1"/>
  <c r="E382" i="14"/>
  <c r="G381" i="14"/>
  <c r="H381" i="14" s="1"/>
  <c r="L381" i="14" s="1"/>
  <c r="E381" i="14"/>
  <c r="G380" i="14"/>
  <c r="H380" i="14" s="1"/>
  <c r="E380" i="14"/>
  <c r="G379" i="14"/>
  <c r="H379" i="14" s="1"/>
  <c r="E379" i="14"/>
  <c r="G378" i="14"/>
  <c r="H378" i="14" s="1"/>
  <c r="E378" i="14"/>
  <c r="G377" i="14"/>
  <c r="H377" i="14" s="1"/>
  <c r="L377" i="14" s="1"/>
  <c r="E377" i="14"/>
  <c r="G376" i="14"/>
  <c r="H376" i="14" s="1"/>
  <c r="E376" i="14"/>
  <c r="G375" i="14"/>
  <c r="H375" i="14" s="1"/>
  <c r="L375" i="14" s="1"/>
  <c r="E375" i="14"/>
  <c r="G374" i="14"/>
  <c r="H374" i="14" s="1"/>
  <c r="E374" i="14"/>
  <c r="G373" i="14"/>
  <c r="H373" i="14" s="1"/>
  <c r="E373" i="14"/>
  <c r="G372" i="14"/>
  <c r="H372" i="14" s="1"/>
  <c r="E372" i="14"/>
  <c r="G371" i="14"/>
  <c r="H371" i="14" s="1"/>
  <c r="L371" i="14" s="1"/>
  <c r="E371" i="14"/>
  <c r="G370" i="14"/>
  <c r="H370" i="14" s="1"/>
  <c r="E370" i="14"/>
  <c r="G369" i="14"/>
  <c r="H369" i="14" s="1"/>
  <c r="E369" i="14"/>
  <c r="G368" i="14"/>
  <c r="H368" i="14" s="1"/>
  <c r="E368" i="14"/>
  <c r="G367" i="14"/>
  <c r="H367" i="14" s="1"/>
  <c r="L367" i="14" s="1"/>
  <c r="E367" i="14"/>
  <c r="G366" i="14"/>
  <c r="H366" i="14" s="1"/>
  <c r="E366" i="14"/>
  <c r="G365" i="14"/>
  <c r="H365" i="14" s="1"/>
  <c r="L365" i="14" s="1"/>
  <c r="E365" i="14"/>
  <c r="G364" i="14"/>
  <c r="H364" i="14" s="1"/>
  <c r="E364" i="14"/>
  <c r="G363" i="14"/>
  <c r="H363" i="14" s="1"/>
  <c r="L363" i="14" s="1"/>
  <c r="E363" i="14"/>
  <c r="G362" i="14"/>
  <c r="H362" i="14" s="1"/>
  <c r="E362" i="14"/>
  <c r="G361" i="14"/>
  <c r="H361" i="14" s="1"/>
  <c r="E361" i="14"/>
  <c r="G360" i="14"/>
  <c r="H360" i="14" s="1"/>
  <c r="E360" i="14"/>
  <c r="G359" i="14"/>
  <c r="H359" i="14" s="1"/>
  <c r="L359" i="14" s="1"/>
  <c r="E359" i="14"/>
  <c r="G358" i="14"/>
  <c r="H358" i="14" s="1"/>
  <c r="L358" i="14" s="1"/>
  <c r="E358" i="14"/>
  <c r="G357" i="14"/>
  <c r="H357" i="14" s="1"/>
  <c r="E357" i="14"/>
  <c r="G356" i="14"/>
  <c r="H356" i="14" s="1"/>
  <c r="E356" i="14"/>
  <c r="G355" i="14"/>
  <c r="H355" i="14" s="1"/>
  <c r="E355" i="14"/>
  <c r="G354" i="14"/>
  <c r="H354" i="14" s="1"/>
  <c r="E354" i="14"/>
  <c r="G353" i="14"/>
  <c r="H353" i="14" s="1"/>
  <c r="E353" i="14"/>
  <c r="G352" i="14"/>
  <c r="H352" i="14" s="1"/>
  <c r="E352" i="14"/>
  <c r="G351" i="14"/>
  <c r="H351" i="14" s="1"/>
  <c r="E351" i="14"/>
  <c r="G350" i="14"/>
  <c r="H350" i="14" s="1"/>
  <c r="E350" i="14"/>
  <c r="G349" i="14"/>
  <c r="H349" i="14" s="1"/>
  <c r="L349" i="14" s="1"/>
  <c r="E349" i="14"/>
  <c r="G348" i="14"/>
  <c r="H348" i="14" s="1"/>
  <c r="E348" i="14"/>
  <c r="G347" i="14"/>
  <c r="H347" i="14" s="1"/>
  <c r="E347" i="14"/>
  <c r="G346" i="14"/>
  <c r="H346" i="14" s="1"/>
  <c r="E346" i="14"/>
  <c r="G345" i="14"/>
  <c r="H345" i="14" s="1"/>
  <c r="E345" i="14"/>
  <c r="G344" i="14"/>
  <c r="H344" i="14" s="1"/>
  <c r="E344" i="14"/>
  <c r="G343" i="14"/>
  <c r="H343" i="14" s="1"/>
  <c r="E343" i="14"/>
  <c r="G342" i="14"/>
  <c r="H342" i="14" s="1"/>
  <c r="E342" i="14"/>
  <c r="G341" i="14"/>
  <c r="H341" i="14" s="1"/>
  <c r="E341" i="14"/>
  <c r="G340" i="14"/>
  <c r="H340" i="14" s="1"/>
  <c r="E340" i="14"/>
  <c r="G339" i="14"/>
  <c r="H339" i="14" s="1"/>
  <c r="E339" i="14"/>
  <c r="G338" i="14"/>
  <c r="H338" i="14" s="1"/>
  <c r="L338" i="14" s="1"/>
  <c r="E338" i="14"/>
  <c r="G337" i="14"/>
  <c r="H337" i="14" s="1"/>
  <c r="E337" i="14"/>
  <c r="G336" i="14"/>
  <c r="H336" i="14" s="1"/>
  <c r="E336" i="14"/>
  <c r="G335" i="14"/>
  <c r="H335" i="14" s="1"/>
  <c r="E335" i="14"/>
  <c r="G334" i="14"/>
  <c r="H334" i="14" s="1"/>
  <c r="E334" i="14"/>
  <c r="G333" i="14"/>
  <c r="H333" i="14" s="1"/>
  <c r="E333" i="14"/>
  <c r="G332" i="14"/>
  <c r="H332" i="14" s="1"/>
  <c r="E332" i="14"/>
  <c r="G331" i="14"/>
  <c r="H331" i="14" s="1"/>
  <c r="E331" i="14"/>
  <c r="G330" i="14"/>
  <c r="H330" i="14" s="1"/>
  <c r="E330" i="14"/>
  <c r="G329" i="14"/>
  <c r="H329" i="14" s="1"/>
  <c r="E329" i="14"/>
  <c r="G328" i="14"/>
  <c r="H328" i="14" s="1"/>
  <c r="E328" i="14"/>
  <c r="G327" i="14"/>
  <c r="H327" i="14" s="1"/>
  <c r="L327" i="14" s="1"/>
  <c r="E327" i="14"/>
  <c r="G326" i="14"/>
  <c r="H326" i="14" s="1"/>
  <c r="L326" i="14" s="1"/>
  <c r="E326" i="14"/>
  <c r="G325" i="14"/>
  <c r="H325" i="14" s="1"/>
  <c r="L325" i="14" s="1"/>
  <c r="E325" i="14"/>
  <c r="G324" i="14"/>
  <c r="H324" i="14" s="1"/>
  <c r="E324" i="14"/>
  <c r="G323" i="14"/>
  <c r="H323" i="14" s="1"/>
  <c r="L323" i="14" s="1"/>
  <c r="E323" i="14"/>
  <c r="G322" i="14"/>
  <c r="H322" i="14" s="1"/>
  <c r="L322" i="14" s="1"/>
  <c r="E322" i="14"/>
  <c r="G321" i="14"/>
  <c r="H321" i="14" s="1"/>
  <c r="E321" i="14"/>
  <c r="G320" i="14"/>
  <c r="H320" i="14" s="1"/>
  <c r="E320" i="14"/>
  <c r="G319" i="14"/>
  <c r="H319" i="14" s="1"/>
  <c r="E319" i="14"/>
  <c r="G318" i="14"/>
  <c r="H318" i="14" s="1"/>
  <c r="E318" i="14"/>
  <c r="G317" i="14"/>
  <c r="H317" i="14" s="1"/>
  <c r="E317" i="14"/>
  <c r="G316" i="14"/>
  <c r="H316" i="14" s="1"/>
  <c r="E316" i="14"/>
  <c r="G315" i="14"/>
  <c r="H315" i="14" s="1"/>
  <c r="E315" i="14"/>
  <c r="G314" i="14"/>
  <c r="H314" i="14" s="1"/>
  <c r="E314" i="14"/>
  <c r="G313" i="14"/>
  <c r="H313" i="14" s="1"/>
  <c r="E313" i="14"/>
  <c r="G312" i="14"/>
  <c r="H312" i="14" s="1"/>
  <c r="E312" i="14"/>
  <c r="G311" i="14"/>
  <c r="H311" i="14" s="1"/>
  <c r="E311" i="14"/>
  <c r="G310" i="14"/>
  <c r="H310" i="14" s="1"/>
  <c r="E310" i="14"/>
  <c r="G309" i="14"/>
  <c r="H309" i="14" s="1"/>
  <c r="E309" i="14"/>
  <c r="G308" i="14"/>
  <c r="H308" i="14" s="1"/>
  <c r="E308" i="14"/>
  <c r="G307" i="14"/>
  <c r="H307" i="14" s="1"/>
  <c r="E307" i="14"/>
  <c r="G306" i="14"/>
  <c r="H306" i="14" s="1"/>
  <c r="E306" i="14"/>
  <c r="G305" i="14"/>
  <c r="H305" i="14" s="1"/>
  <c r="E305" i="14"/>
  <c r="G304" i="14"/>
  <c r="H304" i="14" s="1"/>
  <c r="E304" i="14"/>
  <c r="G303" i="14"/>
  <c r="H303" i="14" s="1"/>
  <c r="E303" i="14"/>
  <c r="G302" i="14"/>
  <c r="H302" i="14" s="1"/>
  <c r="E302" i="14"/>
  <c r="G301" i="14"/>
  <c r="H301" i="14" s="1"/>
  <c r="E301" i="14"/>
  <c r="G300" i="14"/>
  <c r="H300" i="14" s="1"/>
  <c r="E300" i="14"/>
  <c r="G299" i="14"/>
  <c r="H299" i="14" s="1"/>
  <c r="E299" i="14"/>
  <c r="G298" i="14"/>
  <c r="H298" i="14" s="1"/>
  <c r="E298" i="14"/>
  <c r="G297" i="14"/>
  <c r="H297" i="14" s="1"/>
  <c r="E297" i="14"/>
  <c r="G296" i="14"/>
  <c r="H296" i="14" s="1"/>
  <c r="E296" i="14"/>
  <c r="G295" i="14"/>
  <c r="H295" i="14" s="1"/>
  <c r="E295" i="14"/>
  <c r="G294" i="14"/>
  <c r="H294" i="14" s="1"/>
  <c r="E294" i="14"/>
  <c r="G293" i="14"/>
  <c r="H293" i="14" s="1"/>
  <c r="E293" i="14"/>
  <c r="G292" i="14"/>
  <c r="H292" i="14" s="1"/>
  <c r="E292" i="14"/>
  <c r="G291" i="14"/>
  <c r="H291" i="14" s="1"/>
  <c r="E291" i="14"/>
  <c r="G290" i="14"/>
  <c r="H290" i="14" s="1"/>
  <c r="E290" i="14"/>
  <c r="G289" i="14"/>
  <c r="H289" i="14" s="1"/>
  <c r="E289" i="14"/>
  <c r="G288" i="14"/>
  <c r="H288" i="14" s="1"/>
  <c r="E288" i="14"/>
  <c r="G287" i="14"/>
  <c r="H287" i="14" s="1"/>
  <c r="E287" i="14"/>
  <c r="G286" i="14"/>
  <c r="H286" i="14" s="1"/>
  <c r="E286" i="14"/>
  <c r="G285" i="14"/>
  <c r="H285" i="14" s="1"/>
  <c r="E285" i="14"/>
  <c r="G284" i="14"/>
  <c r="H284" i="14" s="1"/>
  <c r="E284" i="14"/>
  <c r="G283" i="14"/>
  <c r="H283" i="14" s="1"/>
  <c r="E283" i="14"/>
  <c r="G282" i="14"/>
  <c r="H282" i="14" s="1"/>
  <c r="E282" i="14"/>
  <c r="G281" i="14"/>
  <c r="H281" i="14" s="1"/>
  <c r="E281" i="14"/>
  <c r="G280" i="14"/>
  <c r="H280" i="14" s="1"/>
  <c r="E280" i="14"/>
  <c r="G279" i="14"/>
  <c r="H279" i="14" s="1"/>
  <c r="E279" i="14"/>
  <c r="G278" i="14"/>
  <c r="H278" i="14" s="1"/>
  <c r="E278" i="14"/>
  <c r="G277" i="14"/>
  <c r="H277" i="14" s="1"/>
  <c r="E277" i="14"/>
  <c r="G276" i="14"/>
  <c r="H276" i="14" s="1"/>
  <c r="E276" i="14"/>
  <c r="G275" i="14"/>
  <c r="H275" i="14" s="1"/>
  <c r="E275" i="14"/>
  <c r="G274" i="14"/>
  <c r="H274" i="14" s="1"/>
  <c r="E274" i="14"/>
  <c r="G273" i="14"/>
  <c r="H273" i="14" s="1"/>
  <c r="E273" i="14"/>
  <c r="G272" i="14"/>
  <c r="H272" i="14" s="1"/>
  <c r="E272" i="14"/>
  <c r="G271" i="14"/>
  <c r="H271" i="14" s="1"/>
  <c r="E271" i="14"/>
  <c r="G270" i="14"/>
  <c r="H270" i="14" s="1"/>
  <c r="E270" i="14"/>
  <c r="G269" i="14"/>
  <c r="H269" i="14" s="1"/>
  <c r="E269" i="14"/>
  <c r="G268" i="14"/>
  <c r="H268" i="14" s="1"/>
  <c r="E268" i="14"/>
  <c r="G267" i="14"/>
  <c r="H267" i="14" s="1"/>
  <c r="E267" i="14"/>
  <c r="G266" i="14"/>
  <c r="H266" i="14" s="1"/>
  <c r="E266" i="14"/>
  <c r="G265" i="14"/>
  <c r="H265" i="14" s="1"/>
  <c r="E265" i="14"/>
  <c r="G264" i="14"/>
  <c r="H264" i="14" s="1"/>
  <c r="E264" i="14"/>
  <c r="G263" i="14"/>
  <c r="H263" i="14" s="1"/>
  <c r="E263" i="14"/>
  <c r="G262" i="14"/>
  <c r="H262" i="14" s="1"/>
  <c r="E262" i="14"/>
  <c r="G261" i="14"/>
  <c r="H261" i="14" s="1"/>
  <c r="E261" i="14"/>
  <c r="G260" i="14"/>
  <c r="H260" i="14" s="1"/>
  <c r="E260" i="14"/>
  <c r="G259" i="14"/>
  <c r="H259" i="14" s="1"/>
  <c r="E259" i="14"/>
  <c r="G258" i="14"/>
  <c r="H258" i="14" s="1"/>
  <c r="E258" i="14"/>
  <c r="G257" i="14"/>
  <c r="H257" i="14" s="1"/>
  <c r="E257" i="14"/>
  <c r="G256" i="14"/>
  <c r="H256" i="14" s="1"/>
  <c r="E256" i="14"/>
  <c r="G255" i="14"/>
  <c r="H255" i="14" s="1"/>
  <c r="E255" i="14"/>
  <c r="G254" i="14"/>
  <c r="H254" i="14" s="1"/>
  <c r="E254" i="14"/>
  <c r="G253" i="14"/>
  <c r="H253" i="14" s="1"/>
  <c r="E253" i="14"/>
  <c r="G252" i="14"/>
  <c r="H252" i="14" s="1"/>
  <c r="E252" i="14"/>
  <c r="G251" i="14"/>
  <c r="H251" i="14" s="1"/>
  <c r="E251" i="14"/>
  <c r="G250" i="14"/>
  <c r="H250" i="14" s="1"/>
  <c r="E250" i="14"/>
  <c r="G249" i="14"/>
  <c r="H249" i="14" s="1"/>
  <c r="E249" i="14"/>
  <c r="G248" i="14"/>
  <c r="H248" i="14" s="1"/>
  <c r="E248" i="14"/>
  <c r="G247" i="14"/>
  <c r="H247" i="14" s="1"/>
  <c r="E247" i="14"/>
  <c r="G246" i="14"/>
  <c r="H246" i="14" s="1"/>
  <c r="E246" i="14"/>
  <c r="G245" i="14"/>
  <c r="H245" i="14" s="1"/>
  <c r="E245" i="14"/>
  <c r="G244" i="14"/>
  <c r="H244" i="14" s="1"/>
  <c r="E244" i="14"/>
  <c r="G243" i="14"/>
  <c r="H243" i="14" s="1"/>
  <c r="E243" i="14"/>
  <c r="G242" i="14"/>
  <c r="H242" i="14" s="1"/>
  <c r="E242" i="14"/>
  <c r="G241" i="14"/>
  <c r="H241" i="14" s="1"/>
  <c r="E241" i="14"/>
  <c r="G240" i="14"/>
  <c r="H240" i="14" s="1"/>
  <c r="E240" i="14"/>
  <c r="G239" i="14"/>
  <c r="H239" i="14" s="1"/>
  <c r="E239" i="14"/>
  <c r="G238" i="14"/>
  <c r="H238" i="14" s="1"/>
  <c r="E238" i="14"/>
  <c r="G237" i="14"/>
  <c r="H237" i="14" s="1"/>
  <c r="E237" i="14"/>
  <c r="G236" i="14"/>
  <c r="H236" i="14" s="1"/>
  <c r="E236" i="14"/>
  <c r="G235" i="14"/>
  <c r="H235" i="14" s="1"/>
  <c r="E235" i="14"/>
  <c r="G234" i="14"/>
  <c r="H234" i="14" s="1"/>
  <c r="E234" i="14"/>
  <c r="G233" i="14"/>
  <c r="H233" i="14" s="1"/>
  <c r="E233" i="14"/>
  <c r="G232" i="14"/>
  <c r="H232" i="14" s="1"/>
  <c r="E232" i="14"/>
  <c r="G231" i="14"/>
  <c r="H231" i="14" s="1"/>
  <c r="E231" i="14"/>
  <c r="G230" i="14"/>
  <c r="H230" i="14" s="1"/>
  <c r="E230" i="14"/>
  <c r="G229" i="14"/>
  <c r="H229" i="14" s="1"/>
  <c r="E229" i="14"/>
  <c r="G228" i="14"/>
  <c r="H228" i="14" s="1"/>
  <c r="E228" i="14"/>
  <c r="G227" i="14"/>
  <c r="H227" i="14" s="1"/>
  <c r="E227" i="14"/>
  <c r="G226" i="14"/>
  <c r="H226" i="14" s="1"/>
  <c r="E226" i="14"/>
  <c r="G225" i="14"/>
  <c r="H225" i="14" s="1"/>
  <c r="E225" i="14"/>
  <c r="G224" i="14"/>
  <c r="H224" i="14" s="1"/>
  <c r="E224" i="14"/>
  <c r="G223" i="14"/>
  <c r="H223" i="14" s="1"/>
  <c r="E223" i="14"/>
  <c r="G222" i="14"/>
  <c r="H222" i="14" s="1"/>
  <c r="E222" i="14"/>
  <c r="G221" i="14"/>
  <c r="H221" i="14" s="1"/>
  <c r="E221" i="14"/>
  <c r="G220" i="14"/>
  <c r="H220" i="14" s="1"/>
  <c r="E220" i="14"/>
  <c r="G219" i="14"/>
  <c r="H219" i="14" s="1"/>
  <c r="E219" i="14"/>
  <c r="G218" i="14"/>
  <c r="H218" i="14" s="1"/>
  <c r="E218" i="14"/>
  <c r="G217" i="14"/>
  <c r="H217" i="14" s="1"/>
  <c r="E217" i="14"/>
  <c r="G216" i="14"/>
  <c r="H216" i="14" s="1"/>
  <c r="E216" i="14"/>
  <c r="G215" i="14"/>
  <c r="H215" i="14" s="1"/>
  <c r="E215" i="14"/>
  <c r="G214" i="14"/>
  <c r="H214" i="14" s="1"/>
  <c r="E214" i="14"/>
  <c r="G213" i="14"/>
  <c r="H213" i="14" s="1"/>
  <c r="E213" i="14"/>
  <c r="G212" i="14"/>
  <c r="H212" i="14" s="1"/>
  <c r="E212" i="14"/>
  <c r="G211" i="14"/>
  <c r="H211" i="14" s="1"/>
  <c r="E211" i="14"/>
  <c r="G210" i="14"/>
  <c r="H210" i="14" s="1"/>
  <c r="E210" i="14"/>
  <c r="G209" i="14"/>
  <c r="H209" i="14" s="1"/>
  <c r="E209" i="14"/>
  <c r="G208" i="14"/>
  <c r="H208" i="14" s="1"/>
  <c r="E208" i="14"/>
  <c r="G207" i="14"/>
  <c r="H207" i="14" s="1"/>
  <c r="E207" i="14"/>
  <c r="G206" i="14"/>
  <c r="H206" i="14" s="1"/>
  <c r="E206" i="14"/>
  <c r="G205" i="14"/>
  <c r="H205" i="14" s="1"/>
  <c r="E205" i="14"/>
  <c r="G204" i="14"/>
  <c r="H204" i="14" s="1"/>
  <c r="E204" i="14"/>
  <c r="G203" i="14"/>
  <c r="H203" i="14" s="1"/>
  <c r="E203" i="14"/>
  <c r="G202" i="14"/>
  <c r="H202" i="14" s="1"/>
  <c r="E202" i="14"/>
  <c r="G201" i="14"/>
  <c r="H201" i="14" s="1"/>
  <c r="E201" i="14"/>
  <c r="G200" i="14"/>
  <c r="H200" i="14" s="1"/>
  <c r="E200" i="14"/>
  <c r="G199" i="14"/>
  <c r="H199" i="14" s="1"/>
  <c r="E199" i="14"/>
  <c r="G198" i="14"/>
  <c r="H198" i="14" s="1"/>
  <c r="E198" i="14"/>
  <c r="G197" i="14"/>
  <c r="H197" i="14" s="1"/>
  <c r="E197" i="14"/>
  <c r="G196" i="14"/>
  <c r="H196" i="14" s="1"/>
  <c r="E196" i="14"/>
  <c r="G195" i="14"/>
  <c r="H195" i="14" s="1"/>
  <c r="E195" i="14"/>
  <c r="G194" i="14"/>
  <c r="H194" i="14" s="1"/>
  <c r="E194" i="14"/>
  <c r="G193" i="14"/>
  <c r="H193" i="14" s="1"/>
  <c r="E193" i="14"/>
  <c r="G192" i="14"/>
  <c r="H192" i="14" s="1"/>
  <c r="E192" i="14"/>
  <c r="E190" i="14"/>
  <c r="G190" i="14"/>
  <c r="H190" i="14" s="1"/>
  <c r="E191" i="14"/>
  <c r="G191" i="14"/>
  <c r="H191" i="14" s="1"/>
  <c r="E189" i="14"/>
  <c r="G189" i="14"/>
  <c r="H189" i="14" s="1"/>
  <c r="G188" i="14"/>
  <c r="H188" i="14" s="1"/>
  <c r="E188" i="14"/>
  <c r="G187" i="14"/>
  <c r="H187" i="14" s="1"/>
  <c r="E187" i="14"/>
  <c r="G186" i="14"/>
  <c r="H186" i="14" s="1"/>
  <c r="E186" i="14"/>
  <c r="G185" i="14"/>
  <c r="H185" i="14" s="1"/>
  <c r="E185" i="14"/>
  <c r="G184" i="14"/>
  <c r="H184" i="14" s="1"/>
  <c r="E184" i="14"/>
  <c r="G183" i="14"/>
  <c r="H183" i="14" s="1"/>
  <c r="E183" i="14"/>
  <c r="G182" i="14"/>
  <c r="H182" i="14" s="1"/>
  <c r="E182" i="14"/>
  <c r="G181" i="14"/>
  <c r="H181" i="14" s="1"/>
  <c r="E181" i="14"/>
  <c r="G180" i="14"/>
  <c r="H180" i="14" s="1"/>
  <c r="E180" i="14"/>
  <c r="G179" i="14"/>
  <c r="H179" i="14" s="1"/>
  <c r="E179" i="14"/>
  <c r="G178" i="14"/>
  <c r="H178" i="14" s="1"/>
  <c r="E178" i="14"/>
  <c r="G177" i="14"/>
  <c r="H177" i="14" s="1"/>
  <c r="E177" i="14"/>
  <c r="G176" i="14"/>
  <c r="H176" i="14" s="1"/>
  <c r="E176" i="14"/>
  <c r="G175" i="14"/>
  <c r="H175" i="14" s="1"/>
  <c r="E175" i="14"/>
  <c r="G174" i="14"/>
  <c r="H174" i="14" s="1"/>
  <c r="E174" i="14"/>
  <c r="G173" i="14"/>
  <c r="H173" i="14" s="1"/>
  <c r="E173" i="14"/>
  <c r="G172" i="14"/>
  <c r="H172" i="14" s="1"/>
  <c r="E172" i="14"/>
  <c r="G171" i="14"/>
  <c r="H171" i="14" s="1"/>
  <c r="E171" i="14"/>
  <c r="G170" i="14"/>
  <c r="H170" i="14" s="1"/>
  <c r="E170" i="14"/>
  <c r="G169" i="14"/>
  <c r="H169" i="14" s="1"/>
  <c r="E169" i="14"/>
  <c r="G168" i="14"/>
  <c r="H168" i="14" s="1"/>
  <c r="E168" i="14"/>
  <c r="G167" i="14"/>
  <c r="H167" i="14" s="1"/>
  <c r="E167" i="14"/>
  <c r="G166" i="14"/>
  <c r="H166" i="14" s="1"/>
  <c r="E166" i="14"/>
  <c r="G165" i="14"/>
  <c r="H165" i="14" s="1"/>
  <c r="E165" i="14"/>
  <c r="G164" i="14"/>
  <c r="H164" i="14" s="1"/>
  <c r="E164" i="14"/>
  <c r="G163" i="14"/>
  <c r="H163" i="14" s="1"/>
  <c r="E163" i="14"/>
  <c r="G162" i="14"/>
  <c r="H162" i="14" s="1"/>
  <c r="E162" i="14"/>
  <c r="G161" i="14"/>
  <c r="H161" i="14" s="1"/>
  <c r="E161" i="14"/>
  <c r="G160" i="14"/>
  <c r="H160" i="14" s="1"/>
  <c r="E160" i="14"/>
  <c r="G159" i="14"/>
  <c r="H159" i="14" s="1"/>
  <c r="E159" i="14"/>
  <c r="G158" i="14"/>
  <c r="H158" i="14" s="1"/>
  <c r="E158" i="14"/>
  <c r="G157" i="14"/>
  <c r="H157" i="14" s="1"/>
  <c r="E157" i="14"/>
  <c r="G156" i="14"/>
  <c r="H156" i="14" s="1"/>
  <c r="E156" i="14"/>
  <c r="G155" i="14"/>
  <c r="H155" i="14" s="1"/>
  <c r="E155" i="14"/>
  <c r="G154" i="14"/>
  <c r="H154" i="14" s="1"/>
  <c r="E154" i="14"/>
  <c r="G153" i="14"/>
  <c r="H153" i="14" s="1"/>
  <c r="E153" i="14"/>
  <c r="G152" i="14"/>
  <c r="H152" i="14" s="1"/>
  <c r="E152" i="14"/>
  <c r="G151" i="14"/>
  <c r="H151" i="14" s="1"/>
  <c r="E151" i="14"/>
  <c r="G150" i="14"/>
  <c r="H150" i="14" s="1"/>
  <c r="E150" i="14"/>
  <c r="G149" i="14"/>
  <c r="H149" i="14" s="1"/>
  <c r="E149" i="14"/>
  <c r="G148" i="14"/>
  <c r="H148" i="14" s="1"/>
  <c r="E148" i="14"/>
  <c r="G147" i="14"/>
  <c r="H147" i="14" s="1"/>
  <c r="E147" i="14"/>
  <c r="G146" i="14"/>
  <c r="H146" i="14" s="1"/>
  <c r="E146" i="14"/>
  <c r="G145" i="14"/>
  <c r="H145" i="14" s="1"/>
  <c r="E145" i="14"/>
  <c r="G144" i="14"/>
  <c r="H144" i="14" s="1"/>
  <c r="E144" i="14"/>
  <c r="G143" i="14"/>
  <c r="H143" i="14" s="1"/>
  <c r="E143" i="14"/>
  <c r="G142" i="14"/>
  <c r="H142" i="14" s="1"/>
  <c r="E142" i="14"/>
  <c r="G141" i="14"/>
  <c r="H141" i="14" s="1"/>
  <c r="E141" i="14"/>
  <c r="G140" i="14"/>
  <c r="H140" i="14" s="1"/>
  <c r="E140" i="14"/>
  <c r="G139" i="14"/>
  <c r="H139" i="14" s="1"/>
  <c r="E139" i="14"/>
  <c r="G138" i="14"/>
  <c r="H138" i="14" s="1"/>
  <c r="E138" i="14"/>
  <c r="G137" i="14"/>
  <c r="H137" i="14" s="1"/>
  <c r="E137" i="14"/>
  <c r="G136" i="14"/>
  <c r="H136" i="14" s="1"/>
  <c r="E136" i="14"/>
  <c r="G135" i="14"/>
  <c r="H135" i="14" s="1"/>
  <c r="E135" i="14"/>
  <c r="G134" i="14"/>
  <c r="H134" i="14" s="1"/>
  <c r="E134" i="14"/>
  <c r="G133" i="14"/>
  <c r="H133" i="14" s="1"/>
  <c r="E133" i="14"/>
  <c r="G132" i="14"/>
  <c r="H132" i="14" s="1"/>
  <c r="E132" i="14"/>
  <c r="G131" i="14"/>
  <c r="H131" i="14" s="1"/>
  <c r="E131" i="14"/>
  <c r="G130" i="14"/>
  <c r="H130" i="14" s="1"/>
  <c r="E130" i="14"/>
  <c r="G129" i="14"/>
  <c r="H129" i="14" s="1"/>
  <c r="E129" i="14"/>
  <c r="G128" i="14"/>
  <c r="H128" i="14" s="1"/>
  <c r="E128" i="14"/>
  <c r="G127" i="14"/>
  <c r="H127" i="14" s="1"/>
  <c r="E127" i="14"/>
  <c r="G126" i="14"/>
  <c r="H126" i="14" s="1"/>
  <c r="E126" i="14"/>
  <c r="G125" i="14"/>
  <c r="H125" i="14" s="1"/>
  <c r="E125" i="14"/>
  <c r="G124" i="14"/>
  <c r="H124" i="14" s="1"/>
  <c r="E124" i="14"/>
  <c r="G123" i="14"/>
  <c r="H123" i="14" s="1"/>
  <c r="E123" i="14"/>
  <c r="G122" i="14"/>
  <c r="H122" i="14" s="1"/>
  <c r="E122" i="14"/>
  <c r="G121" i="14"/>
  <c r="H121" i="14" s="1"/>
  <c r="E121" i="14"/>
  <c r="G120" i="14"/>
  <c r="H120" i="14" s="1"/>
  <c r="E120" i="14"/>
  <c r="G119" i="14"/>
  <c r="H119" i="14" s="1"/>
  <c r="E119" i="14"/>
  <c r="G118" i="14"/>
  <c r="H118" i="14" s="1"/>
  <c r="E118" i="14"/>
  <c r="G117" i="14"/>
  <c r="H117" i="14" s="1"/>
  <c r="E117" i="14"/>
  <c r="G116" i="14"/>
  <c r="H116" i="14" s="1"/>
  <c r="E116" i="14"/>
  <c r="G115" i="14"/>
  <c r="H115" i="14" s="1"/>
  <c r="E115" i="14"/>
  <c r="G114" i="14"/>
  <c r="H114" i="14" s="1"/>
  <c r="E114" i="14"/>
  <c r="G113" i="14"/>
  <c r="H113" i="14" s="1"/>
  <c r="E113" i="14"/>
  <c r="G112" i="14"/>
  <c r="H112" i="14" s="1"/>
  <c r="E112" i="14"/>
  <c r="G111" i="14"/>
  <c r="H111" i="14" s="1"/>
  <c r="E111" i="14"/>
  <c r="G110" i="14"/>
  <c r="H110" i="14" s="1"/>
  <c r="E110" i="14"/>
  <c r="G109" i="14"/>
  <c r="H109" i="14" s="1"/>
  <c r="E109" i="14"/>
  <c r="G108" i="14"/>
  <c r="H108" i="14" s="1"/>
  <c r="E108" i="14"/>
  <c r="G107" i="14"/>
  <c r="H107" i="14" s="1"/>
  <c r="E107" i="14"/>
  <c r="G106" i="14"/>
  <c r="H106" i="14" s="1"/>
  <c r="E106" i="14"/>
  <c r="G105" i="14"/>
  <c r="H105" i="14" s="1"/>
  <c r="E105" i="14"/>
  <c r="G104" i="14"/>
  <c r="H104" i="14" s="1"/>
  <c r="E104" i="14"/>
  <c r="G103" i="14"/>
  <c r="H103" i="14" s="1"/>
  <c r="E103" i="14"/>
  <c r="G102" i="14"/>
  <c r="H102" i="14" s="1"/>
  <c r="E102" i="14"/>
  <c r="G101" i="14"/>
  <c r="H101" i="14" s="1"/>
  <c r="E101" i="14"/>
  <c r="G100" i="14"/>
  <c r="H100" i="14" s="1"/>
  <c r="E100" i="14"/>
  <c r="G99" i="14"/>
  <c r="H99" i="14" s="1"/>
  <c r="E99" i="14"/>
  <c r="G98" i="14"/>
  <c r="H98" i="14" s="1"/>
  <c r="E98" i="14"/>
  <c r="G97" i="14"/>
  <c r="H97" i="14" s="1"/>
  <c r="E97" i="14"/>
  <c r="G96" i="14"/>
  <c r="H96" i="14" s="1"/>
  <c r="E96" i="14"/>
  <c r="G95" i="14"/>
  <c r="H95" i="14" s="1"/>
  <c r="E95" i="14"/>
  <c r="G94" i="14"/>
  <c r="H94" i="14" s="1"/>
  <c r="E94" i="14"/>
  <c r="G93" i="14"/>
  <c r="H93" i="14" s="1"/>
  <c r="E93" i="14"/>
  <c r="G92" i="14"/>
  <c r="H92" i="14" s="1"/>
  <c r="E92" i="14"/>
  <c r="G91" i="14"/>
  <c r="H91" i="14" s="1"/>
  <c r="E91" i="14"/>
  <c r="G90" i="14"/>
  <c r="H90" i="14" s="1"/>
  <c r="E90" i="14"/>
  <c r="G89" i="14"/>
  <c r="H89" i="14" s="1"/>
  <c r="E89" i="14"/>
  <c r="G88" i="14"/>
  <c r="H88" i="14" s="1"/>
  <c r="E88" i="14"/>
  <c r="G87" i="14"/>
  <c r="H87" i="14" s="1"/>
  <c r="E87" i="14"/>
  <c r="G86" i="14"/>
  <c r="H86" i="14" s="1"/>
  <c r="E86" i="14"/>
  <c r="G85" i="14"/>
  <c r="H85" i="14" s="1"/>
  <c r="E85" i="14"/>
  <c r="G84" i="14"/>
  <c r="H84" i="14" s="1"/>
  <c r="E84" i="14"/>
  <c r="G83" i="14"/>
  <c r="H83" i="14" s="1"/>
  <c r="E83" i="14"/>
  <c r="G82" i="14"/>
  <c r="H82" i="14" s="1"/>
  <c r="E82" i="14"/>
  <c r="G81" i="14"/>
  <c r="H81" i="14" s="1"/>
  <c r="E81" i="14"/>
  <c r="G80" i="14"/>
  <c r="H80" i="14" s="1"/>
  <c r="E80" i="14"/>
  <c r="G79" i="14"/>
  <c r="H79" i="14" s="1"/>
  <c r="E79" i="14"/>
  <c r="G78" i="14"/>
  <c r="H78" i="14" s="1"/>
  <c r="E78" i="14"/>
  <c r="G77" i="14"/>
  <c r="H77" i="14" s="1"/>
  <c r="E77" i="14"/>
  <c r="G76" i="14"/>
  <c r="H76" i="14" s="1"/>
  <c r="E76" i="14"/>
  <c r="G75" i="14"/>
  <c r="H75" i="14" s="1"/>
  <c r="E75" i="14"/>
  <c r="G74" i="14"/>
  <c r="H74" i="14" s="1"/>
  <c r="E74" i="14"/>
  <c r="G73" i="14"/>
  <c r="H73" i="14" s="1"/>
  <c r="E73" i="14"/>
  <c r="G72" i="14"/>
  <c r="H72" i="14" s="1"/>
  <c r="E72" i="14"/>
  <c r="G71" i="14"/>
  <c r="H71" i="14" s="1"/>
  <c r="E71" i="14"/>
  <c r="G70" i="14"/>
  <c r="H70" i="14" s="1"/>
  <c r="E70" i="14"/>
  <c r="G69" i="14"/>
  <c r="H69" i="14" s="1"/>
  <c r="E69" i="14"/>
  <c r="G68" i="14"/>
  <c r="H68" i="14" s="1"/>
  <c r="E68" i="14"/>
  <c r="E67" i="14"/>
  <c r="G67" i="14"/>
  <c r="H67" i="14" s="1"/>
  <c r="G66" i="14"/>
  <c r="H66" i="14" s="1"/>
  <c r="E66" i="14"/>
  <c r="G65" i="14"/>
  <c r="H65" i="14" s="1"/>
  <c r="E65" i="14"/>
  <c r="G64" i="14"/>
  <c r="H64" i="14" s="1"/>
  <c r="E64" i="14"/>
  <c r="G63" i="14"/>
  <c r="H63" i="14" s="1"/>
  <c r="E63" i="14"/>
  <c r="G62" i="14"/>
  <c r="H62" i="14" s="1"/>
  <c r="E62" i="14"/>
  <c r="G61" i="14"/>
  <c r="H61" i="14" s="1"/>
  <c r="E61" i="14"/>
  <c r="G60" i="14"/>
  <c r="H60" i="14" s="1"/>
  <c r="E60" i="14"/>
  <c r="G59" i="14"/>
  <c r="H59" i="14" s="1"/>
  <c r="E59" i="14"/>
  <c r="G58" i="14"/>
  <c r="H58" i="14" s="1"/>
  <c r="E58" i="14"/>
  <c r="G57" i="14"/>
  <c r="H57" i="14" s="1"/>
  <c r="E57" i="14"/>
  <c r="G56" i="14"/>
  <c r="H56" i="14" s="1"/>
  <c r="E56" i="14"/>
  <c r="G55" i="14"/>
  <c r="H55" i="14" s="1"/>
  <c r="E55" i="14"/>
  <c r="G54" i="14"/>
  <c r="H54" i="14" s="1"/>
  <c r="E54" i="14"/>
  <c r="G53" i="14"/>
  <c r="H53" i="14" s="1"/>
  <c r="E53" i="14"/>
  <c r="G52" i="14"/>
  <c r="H52" i="14" s="1"/>
  <c r="E52" i="14"/>
  <c r="G51" i="14"/>
  <c r="H51" i="14" s="1"/>
  <c r="E51" i="14"/>
  <c r="G50" i="14"/>
  <c r="H50" i="14" s="1"/>
  <c r="E50" i="14"/>
  <c r="G49" i="14"/>
  <c r="H49" i="14" s="1"/>
  <c r="E49" i="14"/>
  <c r="G48" i="14"/>
  <c r="H48" i="14" s="1"/>
  <c r="E48" i="14"/>
  <c r="G47" i="14"/>
  <c r="H47" i="14" s="1"/>
  <c r="E47" i="14"/>
  <c r="G46" i="14"/>
  <c r="H46" i="14" s="1"/>
  <c r="E46" i="14"/>
  <c r="G45" i="14"/>
  <c r="H45" i="14" s="1"/>
  <c r="E45" i="14"/>
  <c r="G44" i="14"/>
  <c r="H44" i="14" s="1"/>
  <c r="E44" i="14"/>
  <c r="G43" i="14"/>
  <c r="H43" i="14" s="1"/>
  <c r="E43" i="14"/>
  <c r="G42" i="14"/>
  <c r="H42" i="14" s="1"/>
  <c r="E42" i="14"/>
  <c r="G41" i="14"/>
  <c r="H41" i="14" s="1"/>
  <c r="E41" i="14"/>
  <c r="G40" i="14"/>
  <c r="H40" i="14" s="1"/>
  <c r="E40" i="14"/>
  <c r="G39" i="14"/>
  <c r="H39" i="14" s="1"/>
  <c r="E39" i="14"/>
  <c r="G38" i="14"/>
  <c r="H38" i="14" s="1"/>
  <c r="E38" i="14"/>
  <c r="G37" i="14"/>
  <c r="H37" i="14" s="1"/>
  <c r="E37" i="14"/>
  <c r="E27" i="14"/>
  <c r="G27" i="14"/>
  <c r="H27" i="14" s="1"/>
  <c r="E28" i="14"/>
  <c r="G28" i="14"/>
  <c r="H28" i="14" s="1"/>
  <c r="E29" i="14"/>
  <c r="G29" i="14"/>
  <c r="H29" i="14" s="1"/>
  <c r="E48" i="12"/>
  <c r="G48" i="12"/>
  <c r="H48" i="12" s="1"/>
  <c r="E49" i="12"/>
  <c r="G49" i="12"/>
  <c r="H49" i="12" s="1"/>
  <c r="M49" i="12"/>
  <c r="E50" i="12"/>
  <c r="G50" i="12"/>
  <c r="H50" i="12" s="1"/>
  <c r="M50" i="12"/>
  <c r="E51" i="12"/>
  <c r="G51" i="12"/>
  <c r="H51" i="12" s="1"/>
  <c r="E42" i="12"/>
  <c r="G42" i="12"/>
  <c r="H42" i="12" s="1"/>
  <c r="M42" i="12"/>
  <c r="E43" i="12"/>
  <c r="G43" i="12"/>
  <c r="H43" i="12" s="1"/>
  <c r="M43" i="12"/>
  <c r="E44" i="12"/>
  <c r="G44" i="12"/>
  <c r="H44" i="12" s="1"/>
  <c r="M44" i="12"/>
  <c r="E45" i="12"/>
  <c r="G45" i="12"/>
  <c r="H45" i="12" s="1"/>
  <c r="M45" i="12"/>
  <c r="E46" i="12"/>
  <c r="G46" i="12"/>
  <c r="H46" i="12" s="1"/>
  <c r="E37" i="12"/>
  <c r="G37" i="12"/>
  <c r="H37" i="12" s="1"/>
  <c r="M37" i="12"/>
  <c r="E38" i="12"/>
  <c r="G38" i="12"/>
  <c r="H38" i="12" s="1"/>
  <c r="M38" i="12"/>
  <c r="E39" i="12"/>
  <c r="G39" i="12"/>
  <c r="H39" i="12" s="1"/>
  <c r="M39" i="12"/>
  <c r="E40" i="12"/>
  <c r="G40" i="12"/>
  <c r="H40" i="12" s="1"/>
  <c r="M40" i="12"/>
  <c r="E41" i="12"/>
  <c r="G41" i="12"/>
  <c r="H41" i="12" s="1"/>
  <c r="E47" i="12"/>
  <c r="G47" i="12"/>
  <c r="H47" i="12" s="1"/>
  <c r="E33" i="12"/>
  <c r="G33" i="12"/>
  <c r="H33" i="12" s="1"/>
  <c r="M33" i="12"/>
  <c r="E34" i="12"/>
  <c r="G34" i="12"/>
  <c r="H34" i="12" s="1"/>
  <c r="E35" i="12"/>
  <c r="G35" i="12"/>
  <c r="H35" i="12" s="1"/>
  <c r="M35" i="12"/>
  <c r="E36" i="12"/>
  <c r="G36" i="12"/>
  <c r="H36" i="12" s="1"/>
  <c r="K22" i="10"/>
  <c r="K23" i="10"/>
  <c r="K24" i="10"/>
  <c r="K25" i="10"/>
  <c r="K26" i="10"/>
  <c r="K27" i="10"/>
  <c r="K28" i="10"/>
  <c r="K29" i="10"/>
  <c r="K30" i="10"/>
  <c r="K31" i="10"/>
  <c r="K21" i="10"/>
  <c r="K17" i="10"/>
  <c r="K18" i="10"/>
  <c r="K19" i="10"/>
  <c r="K20" i="10"/>
  <c r="K16" i="10"/>
  <c r="K8" i="10"/>
  <c r="K9" i="10"/>
  <c r="K5" i="10"/>
  <c r="K6" i="10"/>
  <c r="K10" i="10"/>
  <c r="K11" i="10"/>
  <c r="K12" i="10"/>
  <c r="K13" i="10"/>
  <c r="K14" i="10"/>
  <c r="K15" i="10"/>
  <c r="E5" i="10"/>
  <c r="E22" i="10"/>
  <c r="E23" i="10"/>
  <c r="E24" i="10"/>
  <c r="E25" i="10"/>
  <c r="G36" i="14"/>
  <c r="H36" i="14" s="1"/>
  <c r="E36" i="14"/>
  <c r="G35" i="14"/>
  <c r="H35" i="14" s="1"/>
  <c r="E35" i="14"/>
  <c r="G34" i="14"/>
  <c r="H34" i="14" s="1"/>
  <c r="E34" i="14"/>
  <c r="G33" i="14"/>
  <c r="H33" i="14" s="1"/>
  <c r="E33" i="14"/>
  <c r="G32" i="14"/>
  <c r="H32" i="14" s="1"/>
  <c r="E32" i="14"/>
  <c r="G31" i="14"/>
  <c r="H31" i="14" s="1"/>
  <c r="E31" i="14"/>
  <c r="G30" i="14"/>
  <c r="H30" i="14" s="1"/>
  <c r="E30" i="14"/>
  <c r="G26" i="14"/>
  <c r="H26" i="14" s="1"/>
  <c r="E26" i="14"/>
  <c r="G25" i="14"/>
  <c r="H25" i="14" s="1"/>
  <c r="E25" i="14"/>
  <c r="G24" i="14"/>
  <c r="H24" i="14" s="1"/>
  <c r="E24" i="14"/>
  <c r="G23" i="14"/>
  <c r="H23" i="14" s="1"/>
  <c r="E23" i="14"/>
  <c r="G22" i="14"/>
  <c r="H22" i="14" s="1"/>
  <c r="E22" i="14"/>
  <c r="G21" i="14"/>
  <c r="H21" i="14" s="1"/>
  <c r="E21" i="14"/>
  <c r="G20" i="14"/>
  <c r="H20" i="14" s="1"/>
  <c r="E20" i="14"/>
  <c r="G19" i="14"/>
  <c r="H19" i="14" s="1"/>
  <c r="E19" i="14"/>
  <c r="G18" i="14"/>
  <c r="H18" i="14" s="1"/>
  <c r="E18" i="14"/>
  <c r="G17" i="14"/>
  <c r="H17" i="14" s="1"/>
  <c r="E17" i="14"/>
  <c r="G16" i="14"/>
  <c r="H16" i="14" s="1"/>
  <c r="E16" i="14"/>
  <c r="G15" i="14"/>
  <c r="H15" i="14" s="1"/>
  <c r="E15" i="14"/>
  <c r="G14" i="14"/>
  <c r="H14" i="14" s="1"/>
  <c r="E14" i="14"/>
  <c r="G13" i="14"/>
  <c r="H13" i="14" s="1"/>
  <c r="E13" i="14"/>
  <c r="G12" i="14"/>
  <c r="H12" i="14" s="1"/>
  <c r="E12" i="14"/>
  <c r="G11" i="14"/>
  <c r="H11" i="14" s="1"/>
  <c r="E11" i="14"/>
  <c r="G10" i="14"/>
  <c r="H10" i="14" s="1"/>
  <c r="E10" i="14"/>
  <c r="G9" i="14"/>
  <c r="H9" i="14" s="1"/>
  <c r="E9" i="14"/>
  <c r="G8" i="14"/>
  <c r="H8" i="14" s="1"/>
  <c r="E8" i="14"/>
  <c r="G7" i="14"/>
  <c r="H7" i="14" s="1"/>
  <c r="E7" i="14"/>
  <c r="G6" i="14"/>
  <c r="H6" i="14" s="1"/>
  <c r="E6" i="14"/>
  <c r="M5" i="14"/>
  <c r="G5" i="14"/>
  <c r="H5" i="14" s="1"/>
  <c r="E5" i="14"/>
  <c r="G52" i="12"/>
  <c r="H52" i="12" s="1"/>
  <c r="E52" i="12"/>
  <c r="G32" i="12"/>
  <c r="H32" i="12" s="1"/>
  <c r="E32" i="12"/>
  <c r="M31" i="12"/>
  <c r="G31" i="12"/>
  <c r="H31" i="12" s="1"/>
  <c r="E31" i="12"/>
  <c r="M30" i="12"/>
  <c r="G30" i="12"/>
  <c r="H30" i="12" s="1"/>
  <c r="E30" i="12"/>
  <c r="M29" i="12"/>
  <c r="G29" i="12"/>
  <c r="H29" i="12" s="1"/>
  <c r="E29" i="12"/>
  <c r="M28" i="12"/>
  <c r="G28" i="12"/>
  <c r="H28" i="12" s="1"/>
  <c r="E28" i="12"/>
  <c r="M27" i="12"/>
  <c r="G27" i="12"/>
  <c r="H27" i="12" s="1"/>
  <c r="E27" i="12"/>
  <c r="M26" i="12"/>
  <c r="G26" i="12"/>
  <c r="H26" i="12" s="1"/>
  <c r="E26" i="12"/>
  <c r="M25" i="12"/>
  <c r="G25" i="12"/>
  <c r="H25" i="12" s="1"/>
  <c r="E25" i="12"/>
  <c r="M24" i="12"/>
  <c r="G24" i="12"/>
  <c r="H24" i="12" s="1"/>
  <c r="E24" i="12"/>
  <c r="M23" i="12"/>
  <c r="G23" i="12"/>
  <c r="H23" i="12" s="1"/>
  <c r="E23" i="12"/>
  <c r="G22" i="12"/>
  <c r="H22" i="12" s="1"/>
  <c r="E22" i="12"/>
  <c r="M21" i="12"/>
  <c r="G21" i="12"/>
  <c r="H21" i="12" s="1"/>
  <c r="E21" i="12"/>
  <c r="M20" i="12"/>
  <c r="G20" i="12"/>
  <c r="H20" i="12" s="1"/>
  <c r="E20" i="12"/>
  <c r="M19" i="12"/>
  <c r="G19" i="12"/>
  <c r="H19" i="12" s="1"/>
  <c r="E19" i="12"/>
  <c r="M18" i="12"/>
  <c r="G18" i="12"/>
  <c r="H18" i="12" s="1"/>
  <c r="E18" i="12"/>
  <c r="M17" i="12"/>
  <c r="G17" i="12"/>
  <c r="H17" i="12" s="1"/>
  <c r="E17" i="12"/>
  <c r="M16" i="12"/>
  <c r="G16" i="12"/>
  <c r="H16" i="12" s="1"/>
  <c r="E16" i="12"/>
  <c r="M15" i="12"/>
  <c r="G15" i="12"/>
  <c r="H15" i="12" s="1"/>
  <c r="E15" i="12"/>
  <c r="G14" i="12"/>
  <c r="H14" i="12" s="1"/>
  <c r="E14" i="12"/>
  <c r="M13" i="12"/>
  <c r="G13" i="12"/>
  <c r="H13" i="12" s="1"/>
  <c r="E13" i="12"/>
  <c r="M12" i="12"/>
  <c r="G12" i="12"/>
  <c r="H12" i="12" s="1"/>
  <c r="E12" i="12"/>
  <c r="M11" i="12"/>
  <c r="G11" i="12"/>
  <c r="H11" i="12" s="1"/>
  <c r="E11" i="12"/>
  <c r="M10" i="12"/>
  <c r="G10" i="12"/>
  <c r="H10" i="12" s="1"/>
  <c r="E10" i="12"/>
  <c r="M9" i="12"/>
  <c r="G9" i="12"/>
  <c r="H9" i="12" s="1"/>
  <c r="E9" i="12"/>
  <c r="G8" i="12"/>
  <c r="H8" i="12" s="1"/>
  <c r="E8" i="12"/>
  <c r="M7" i="12"/>
  <c r="G7" i="12"/>
  <c r="H7" i="12" s="1"/>
  <c r="E7" i="12"/>
  <c r="G6" i="12"/>
  <c r="H6" i="12" s="1"/>
  <c r="E6" i="12"/>
  <c r="M5" i="12"/>
  <c r="G5" i="12"/>
  <c r="H5" i="12" s="1"/>
  <c r="E5" i="12"/>
  <c r="G15" i="10"/>
  <c r="H15" i="10" s="1"/>
  <c r="E15" i="10"/>
  <c r="M14" i="10"/>
  <c r="G14" i="10"/>
  <c r="H14" i="10" s="1"/>
  <c r="E14" i="10"/>
  <c r="M13" i="10"/>
  <c r="G13" i="10"/>
  <c r="H13" i="10" s="1"/>
  <c r="E13" i="10"/>
  <c r="M12" i="10"/>
  <c r="G12" i="10"/>
  <c r="H12" i="10" s="1"/>
  <c r="E12" i="10"/>
  <c r="M11" i="10"/>
  <c r="G11" i="10"/>
  <c r="H11" i="10" s="1"/>
  <c r="E11" i="10"/>
  <c r="M10" i="10"/>
  <c r="G10" i="10"/>
  <c r="H10" i="10" s="1"/>
  <c r="E10" i="10"/>
  <c r="G7" i="10"/>
  <c r="H7" i="10" s="1"/>
  <c r="E7" i="10"/>
  <c r="M6" i="10"/>
  <c r="G6" i="10"/>
  <c r="H6" i="10" s="1"/>
  <c r="E6" i="10"/>
  <c r="M5" i="10"/>
  <c r="G5" i="10"/>
  <c r="H5" i="10" s="1"/>
  <c r="G9" i="10"/>
  <c r="H9" i="10" s="1"/>
  <c r="E9" i="10"/>
  <c r="M8" i="10"/>
  <c r="G8" i="10"/>
  <c r="H8" i="10" s="1"/>
  <c r="E8" i="10"/>
  <c r="G16" i="10"/>
  <c r="H16" i="10" s="1"/>
  <c r="E16" i="10"/>
  <c r="G20" i="10"/>
  <c r="H20" i="10" s="1"/>
  <c r="E20" i="10"/>
  <c r="M19" i="10"/>
  <c r="G19" i="10"/>
  <c r="H19" i="10" s="1"/>
  <c r="E19" i="10"/>
  <c r="M18" i="10"/>
  <c r="G18" i="10"/>
  <c r="H18" i="10" s="1"/>
  <c r="E18" i="10"/>
  <c r="M17" i="10"/>
  <c r="G17" i="10"/>
  <c r="H17" i="10" s="1"/>
  <c r="E17" i="10"/>
  <c r="G21" i="10"/>
  <c r="H21" i="10" s="1"/>
  <c r="E21" i="10"/>
  <c r="G31" i="10"/>
  <c r="H31" i="10" s="1"/>
  <c r="E31" i="10"/>
  <c r="M30" i="10"/>
  <c r="G30" i="10"/>
  <c r="H30" i="10" s="1"/>
  <c r="E30" i="10"/>
  <c r="M29" i="10"/>
  <c r="G29" i="10"/>
  <c r="H29" i="10" s="1"/>
  <c r="E29" i="10"/>
  <c r="M28" i="10"/>
  <c r="G28" i="10"/>
  <c r="H28" i="10" s="1"/>
  <c r="E28" i="10"/>
  <c r="M27" i="10"/>
  <c r="G27" i="10"/>
  <c r="H27" i="10" s="1"/>
  <c r="E27" i="10"/>
  <c r="M26" i="10"/>
  <c r="G26" i="10"/>
  <c r="H26" i="10" s="1"/>
  <c r="E26" i="10"/>
  <c r="G25" i="10"/>
  <c r="H25" i="10" s="1"/>
  <c r="M24" i="10"/>
  <c r="G24" i="10"/>
  <c r="H24" i="10" s="1"/>
  <c r="G23" i="10"/>
  <c r="H23" i="10" s="1"/>
  <c r="M22" i="10"/>
  <c r="G22" i="10"/>
  <c r="H22" i="10" s="1"/>
  <c r="L324" i="14" l="1"/>
  <c r="L348" i="14"/>
  <c r="L372" i="14"/>
  <c r="L384" i="14"/>
  <c r="L392" i="14"/>
  <c r="L404" i="14"/>
  <c r="L412" i="14"/>
  <c r="L436" i="14"/>
  <c r="L440" i="14"/>
  <c r="L444" i="14"/>
  <c r="L448" i="14"/>
  <c r="L456" i="14"/>
  <c r="L460" i="14"/>
  <c r="L464" i="14"/>
  <c r="L468" i="14"/>
  <c r="L472" i="14"/>
  <c r="L476" i="14"/>
  <c r="L480" i="14"/>
  <c r="L484" i="14"/>
  <c r="L492" i="14"/>
  <c r="L496" i="14"/>
  <c r="L500" i="14"/>
  <c r="L504" i="14"/>
  <c r="L508" i="14"/>
  <c r="M511" i="14" s="1"/>
  <c r="L512" i="14"/>
  <c r="M514" i="14" s="1"/>
  <c r="L540" i="14"/>
  <c r="L544" i="14"/>
  <c r="L548" i="14"/>
  <c r="L556" i="14"/>
  <c r="L564" i="14"/>
  <c r="L340" i="14"/>
  <c r="L364" i="14"/>
  <c r="L376" i="14"/>
  <c r="L380" i="14"/>
  <c r="L388" i="14"/>
  <c r="L408" i="14"/>
  <c r="L420" i="14"/>
  <c r="L452" i="14"/>
  <c r="L514" i="14"/>
  <c r="L350" i="14"/>
  <c r="M404" i="14"/>
  <c r="L559" i="14"/>
  <c r="M559" i="14"/>
  <c r="M566" i="14"/>
  <c r="G46" i="4"/>
  <c r="H46" i="4" s="1"/>
  <c r="G42" i="4"/>
  <c r="H42" i="4" s="1"/>
  <c r="G38" i="4"/>
  <c r="H38" i="4" s="1"/>
  <c r="G34" i="4"/>
  <c r="H34" i="4" s="1"/>
  <c r="G45" i="4"/>
  <c r="H45" i="4" s="1"/>
  <c r="G41" i="4"/>
  <c r="H41" i="4" s="1"/>
  <c r="G37" i="4"/>
  <c r="H37" i="4" s="1"/>
  <c r="G33" i="4"/>
  <c r="H33" i="4" s="1"/>
  <c r="G30" i="4"/>
  <c r="H30" i="4" s="1"/>
  <c r="G48" i="4"/>
  <c r="H48" i="4" s="1"/>
  <c r="G44" i="4"/>
  <c r="H44" i="4" s="1"/>
  <c r="G40" i="4"/>
  <c r="H40" i="4" s="1"/>
  <c r="G36" i="4"/>
  <c r="H36" i="4" s="1"/>
  <c r="G32" i="4"/>
  <c r="H32" i="4" s="1"/>
  <c r="G47" i="4"/>
  <c r="H47" i="4" s="1"/>
  <c r="G43" i="4"/>
  <c r="H43" i="4" s="1"/>
  <c r="G39" i="4"/>
  <c r="H39" i="4" s="1"/>
  <c r="G35" i="4"/>
  <c r="H35" i="4" s="1"/>
  <c r="G31" i="4"/>
  <c r="H31" i="4" s="1"/>
  <c r="M56" i="12" a="1"/>
  <c r="M56" i="12" s="1"/>
  <c r="L5" i="8"/>
  <c r="L7" i="8"/>
  <c r="L6" i="8"/>
  <c r="L8" i="8"/>
  <c r="L23" i="10"/>
  <c r="L31" i="10"/>
  <c r="L9" i="10"/>
  <c r="L22" i="10"/>
  <c r="L11" i="10"/>
  <c r="L15" i="10"/>
  <c r="L18" i="10"/>
  <c r="L5" i="10"/>
  <c r="L12" i="10"/>
  <c r="L21" i="10"/>
  <c r="M21" i="10" s="1"/>
  <c r="L19" i="10"/>
  <c r="L6" i="10"/>
  <c r="L552" i="14"/>
  <c r="M553" i="14" s="1"/>
  <c r="L553" i="14"/>
  <c r="L13" i="10"/>
  <c r="L415" i="14"/>
  <c r="L505" i="14"/>
  <c r="L506" i="14"/>
  <c r="L551" i="14"/>
  <c r="L26" i="10"/>
  <c r="L30" i="10"/>
  <c r="L8" i="10"/>
  <c r="L7" i="10"/>
  <c r="L351" i="14"/>
  <c r="L352" i="14"/>
  <c r="L353" i="14"/>
  <c r="L396" i="14"/>
  <c r="L397" i="14"/>
  <c r="L399" i="14"/>
  <c r="L400" i="14"/>
  <c r="L423" i="14"/>
  <c r="L424" i="14"/>
  <c r="L425" i="14"/>
  <c r="L428" i="14"/>
  <c r="L429" i="14"/>
  <c r="L431" i="14"/>
  <c r="L432" i="14"/>
  <c r="L433" i="14"/>
  <c r="L478" i="14"/>
  <c r="L479" i="14"/>
  <c r="L515" i="14"/>
  <c r="M515" i="14" s="1"/>
  <c r="L516" i="14"/>
  <c r="L517" i="14"/>
  <c r="L518" i="14"/>
  <c r="L519" i="14"/>
  <c r="L520" i="14"/>
  <c r="L521" i="14"/>
  <c r="L522" i="14"/>
  <c r="L523" i="14"/>
  <c r="L524" i="14"/>
  <c r="L525" i="14"/>
  <c r="L526" i="14"/>
  <c r="L527" i="14"/>
  <c r="L528" i="14"/>
  <c r="L529" i="14"/>
  <c r="L530" i="14"/>
  <c r="L531" i="14"/>
  <c r="L532" i="14"/>
  <c r="L533" i="14"/>
  <c r="L534" i="14"/>
  <c r="L535" i="14"/>
  <c r="L536" i="14"/>
  <c r="L537" i="14"/>
  <c r="L538" i="14"/>
  <c r="L560" i="14"/>
  <c r="L561" i="14"/>
  <c r="L562" i="14"/>
  <c r="L481" i="14"/>
  <c r="L477" i="14"/>
  <c r="L441" i="14"/>
  <c r="L445" i="14"/>
  <c r="L449" i="14"/>
  <c r="L453" i="14"/>
  <c r="L457" i="14"/>
  <c r="L461" i="14"/>
  <c r="L465" i="14"/>
  <c r="L469" i="14"/>
  <c r="L379" i="14"/>
  <c r="L411" i="14"/>
  <c r="L427" i="14"/>
  <c r="L473" i="14"/>
  <c r="L489" i="14"/>
  <c r="L395" i="14"/>
  <c r="L269" i="14"/>
  <c r="L341" i="14"/>
  <c r="L342" i="14"/>
  <c r="L343" i="14"/>
  <c r="L360" i="14"/>
  <c r="L361" i="14"/>
  <c r="L227" i="14"/>
  <c r="L228" i="14"/>
  <c r="L229" i="14"/>
  <c r="L230" i="14"/>
  <c r="L231" i="14"/>
  <c r="L288" i="14"/>
  <c r="L289" i="14"/>
  <c r="L290" i="14"/>
  <c r="L291" i="14"/>
  <c r="L292" i="14"/>
  <c r="L298" i="14"/>
  <c r="L302" i="14"/>
  <c r="L303" i="14"/>
  <c r="L304" i="14"/>
  <c r="L305" i="14"/>
  <c r="L306" i="14"/>
  <c r="L307" i="14"/>
  <c r="L308" i="14"/>
  <c r="L310" i="14"/>
  <c r="L311" i="14"/>
  <c r="L312" i="14"/>
  <c r="L313" i="14"/>
  <c r="L314" i="14"/>
  <c r="L315" i="14"/>
  <c r="L330" i="14"/>
  <c r="L331" i="14"/>
  <c r="L332" i="14"/>
  <c r="L333" i="14"/>
  <c r="L334" i="14"/>
  <c r="L344" i="14"/>
  <c r="L345" i="14"/>
  <c r="L368" i="14"/>
  <c r="L369" i="14"/>
  <c r="L407" i="14"/>
  <c r="L416" i="14"/>
  <c r="L417" i="14"/>
  <c r="L439" i="14"/>
  <c r="L488" i="14"/>
  <c r="L373" i="14"/>
  <c r="L389" i="14"/>
  <c r="L405" i="14"/>
  <c r="M405" i="14" s="1"/>
  <c r="L421" i="14"/>
  <c r="L437" i="14"/>
  <c r="L316" i="14"/>
  <c r="L335" i="14"/>
  <c r="L354" i="14"/>
  <c r="L250" i="14"/>
  <c r="L251" i="14"/>
  <c r="L318" i="14"/>
  <c r="L319" i="14"/>
  <c r="L320" i="14"/>
  <c r="L321" i="14"/>
  <c r="L328" i="14"/>
  <c r="L329" i="14"/>
  <c r="L336" i="14"/>
  <c r="L337" i="14"/>
  <c r="L346" i="14"/>
  <c r="L356" i="14"/>
  <c r="L357" i="14"/>
  <c r="L362" i="14"/>
  <c r="L366" i="14"/>
  <c r="L370" i="14"/>
  <c r="L374" i="14"/>
  <c r="L378" i="14"/>
  <c r="L382" i="14"/>
  <c r="L386" i="14"/>
  <c r="L390" i="14"/>
  <c r="L394" i="14"/>
  <c r="L398" i="14"/>
  <c r="L402" i="14"/>
  <c r="M402" i="14" s="1"/>
  <c r="L406" i="14"/>
  <c r="M406" i="14" s="1"/>
  <c r="L410" i="14"/>
  <c r="L414" i="14"/>
  <c r="L418" i="14"/>
  <c r="M420" i="14" s="1"/>
  <c r="L422" i="14"/>
  <c r="L426" i="14"/>
  <c r="L430" i="14"/>
  <c r="L434" i="14"/>
  <c r="L438" i="14"/>
  <c r="L339" i="14"/>
  <c r="L347" i="14"/>
  <c r="L355" i="14"/>
  <c r="L211" i="14"/>
  <c r="L212" i="14"/>
  <c r="L213" i="14"/>
  <c r="L214" i="14"/>
  <c r="L215" i="14"/>
  <c r="L242" i="14"/>
  <c r="L243" i="14"/>
  <c r="L299" i="14"/>
  <c r="L300" i="14"/>
  <c r="L301" i="14"/>
  <c r="L309" i="14"/>
  <c r="L317" i="14"/>
  <c r="L293" i="14"/>
  <c r="L239" i="14"/>
  <c r="L263" i="14"/>
  <c r="L264" i="14"/>
  <c r="L265" i="14"/>
  <c r="L281" i="14"/>
  <c r="L282" i="14"/>
  <c r="L294" i="14"/>
  <c r="L295" i="14"/>
  <c r="L271" i="14"/>
  <c r="L272" i="14"/>
  <c r="L273" i="14"/>
  <c r="L274" i="14"/>
  <c r="L275" i="14"/>
  <c r="L276" i="14"/>
  <c r="L277" i="14"/>
  <c r="L279" i="14"/>
  <c r="L296" i="14"/>
  <c r="L297" i="14"/>
  <c r="L240" i="14"/>
  <c r="L241" i="14"/>
  <c r="L249" i="14"/>
  <c r="M249" i="14" s="1"/>
  <c r="L283" i="14"/>
  <c r="L284" i="14"/>
  <c r="L285" i="14"/>
  <c r="L247" i="14"/>
  <c r="L248" i="14"/>
  <c r="L255" i="14"/>
  <c r="L256" i="14"/>
  <c r="L257" i="14"/>
  <c r="L258" i="14"/>
  <c r="L259" i="14"/>
  <c r="L260" i="14"/>
  <c r="L261" i="14"/>
  <c r="L266" i="14"/>
  <c r="L267" i="14"/>
  <c r="L268" i="14"/>
  <c r="L280" i="14"/>
  <c r="L286" i="14"/>
  <c r="L287" i="14"/>
  <c r="L244" i="14"/>
  <c r="L252" i="14"/>
  <c r="L195" i="14"/>
  <c r="L196" i="14"/>
  <c r="L197" i="14"/>
  <c r="L198" i="14"/>
  <c r="L199" i="14"/>
  <c r="L203" i="14"/>
  <c r="L219" i="14"/>
  <c r="L220" i="14"/>
  <c r="L221" i="14"/>
  <c r="L222" i="14"/>
  <c r="L223" i="14"/>
  <c r="L235" i="14"/>
  <c r="L236" i="14"/>
  <c r="L237" i="14"/>
  <c r="L238" i="14"/>
  <c r="L245" i="14"/>
  <c r="L246" i="14"/>
  <c r="L253" i="14"/>
  <c r="L254" i="14"/>
  <c r="L262" i="14"/>
  <c r="L270" i="14"/>
  <c r="L278" i="14"/>
  <c r="L204" i="14"/>
  <c r="L205" i="14"/>
  <c r="L206" i="14"/>
  <c r="L216" i="14"/>
  <c r="L224" i="14"/>
  <c r="L232" i="14"/>
  <c r="L217" i="14"/>
  <c r="L218" i="14"/>
  <c r="L225" i="14"/>
  <c r="L226" i="14"/>
  <c r="L233" i="14"/>
  <c r="L234" i="14"/>
  <c r="L200" i="14"/>
  <c r="L207" i="14"/>
  <c r="L208" i="14"/>
  <c r="L201" i="14"/>
  <c r="L202" i="14"/>
  <c r="L209" i="14"/>
  <c r="L210" i="14"/>
  <c r="L192" i="14"/>
  <c r="L193" i="14"/>
  <c r="L194" i="14"/>
  <c r="L190" i="14"/>
  <c r="L191" i="14"/>
  <c r="L178" i="14"/>
  <c r="L182" i="14"/>
  <c r="L186" i="14"/>
  <c r="L187" i="14"/>
  <c r="L188" i="14"/>
  <c r="L189" i="14"/>
  <c r="L137" i="14"/>
  <c r="L138" i="14"/>
  <c r="L139" i="14"/>
  <c r="L144" i="14"/>
  <c r="L91" i="14"/>
  <c r="L92" i="14"/>
  <c r="L93" i="14"/>
  <c r="L98" i="14"/>
  <c r="L99" i="14"/>
  <c r="L103" i="14"/>
  <c r="L107" i="14"/>
  <c r="L174" i="14"/>
  <c r="L175" i="14"/>
  <c r="L183" i="14"/>
  <c r="L184" i="14"/>
  <c r="L159" i="14"/>
  <c r="L167" i="14"/>
  <c r="L176" i="14"/>
  <c r="L179" i="14"/>
  <c r="L180" i="14"/>
  <c r="L145" i="14"/>
  <c r="L146" i="14"/>
  <c r="L147" i="14"/>
  <c r="L148" i="14"/>
  <c r="L152" i="14"/>
  <c r="L153" i="14"/>
  <c r="L168" i="14"/>
  <c r="L169" i="14"/>
  <c r="L177" i="14"/>
  <c r="L185" i="14"/>
  <c r="M185" i="14" s="1"/>
  <c r="L130" i="14"/>
  <c r="L131" i="14"/>
  <c r="L132" i="14"/>
  <c r="L160" i="14"/>
  <c r="L161" i="14"/>
  <c r="L162" i="14"/>
  <c r="L163" i="14"/>
  <c r="L181" i="14"/>
  <c r="L170" i="14"/>
  <c r="L154" i="14"/>
  <c r="L155" i="14"/>
  <c r="L156" i="14"/>
  <c r="L164" i="14"/>
  <c r="L171" i="14"/>
  <c r="L172" i="14"/>
  <c r="L165" i="14"/>
  <c r="L166" i="14"/>
  <c r="L173" i="14"/>
  <c r="L149" i="14"/>
  <c r="L157" i="14"/>
  <c r="L122" i="14"/>
  <c r="L123" i="14"/>
  <c r="L124" i="14"/>
  <c r="L126" i="14"/>
  <c r="L127" i="14"/>
  <c r="L128" i="14"/>
  <c r="L129" i="14"/>
  <c r="L133" i="14"/>
  <c r="L134" i="14"/>
  <c r="L150" i="14"/>
  <c r="L151" i="14"/>
  <c r="L158" i="14"/>
  <c r="L140" i="14"/>
  <c r="L114" i="14"/>
  <c r="L115" i="14"/>
  <c r="L116" i="14"/>
  <c r="L141" i="14"/>
  <c r="L142" i="14"/>
  <c r="L96" i="14"/>
  <c r="L118" i="14"/>
  <c r="L119" i="14"/>
  <c r="L120" i="14"/>
  <c r="L135" i="14"/>
  <c r="L136" i="14"/>
  <c r="L143" i="14"/>
  <c r="L53" i="14"/>
  <c r="L64" i="14"/>
  <c r="L65" i="14"/>
  <c r="L95" i="14"/>
  <c r="L117" i="14"/>
  <c r="M120" i="14" s="1"/>
  <c r="L125" i="14"/>
  <c r="L97" i="14"/>
  <c r="L108" i="14"/>
  <c r="L109" i="14"/>
  <c r="L110" i="14"/>
  <c r="L111" i="14"/>
  <c r="L112" i="14"/>
  <c r="L113" i="14"/>
  <c r="L121" i="14"/>
  <c r="L79" i="14"/>
  <c r="L80" i="14"/>
  <c r="L81" i="14"/>
  <c r="L104" i="14"/>
  <c r="L105" i="14"/>
  <c r="L106" i="14"/>
  <c r="L100" i="14"/>
  <c r="L87" i="14"/>
  <c r="L88" i="14"/>
  <c r="L89" i="14"/>
  <c r="L101" i="14"/>
  <c r="L102" i="14"/>
  <c r="L90" i="14"/>
  <c r="L94" i="14"/>
  <c r="L82" i="14"/>
  <c r="L83" i="14"/>
  <c r="L84" i="14"/>
  <c r="L66" i="14"/>
  <c r="L68" i="14"/>
  <c r="L69" i="14"/>
  <c r="L70" i="14"/>
  <c r="L71" i="14"/>
  <c r="L72" i="14"/>
  <c r="L73" i="14"/>
  <c r="L74" i="14"/>
  <c r="L75" i="14"/>
  <c r="L85" i="14"/>
  <c r="L86" i="14"/>
  <c r="L76" i="14"/>
  <c r="L77" i="14"/>
  <c r="L78" i="14"/>
  <c r="L67" i="14"/>
  <c r="L62" i="14"/>
  <c r="L49" i="14"/>
  <c r="L50" i="14"/>
  <c r="L60" i="14"/>
  <c r="L61" i="14"/>
  <c r="L63" i="14"/>
  <c r="L46" i="14"/>
  <c r="L47" i="14"/>
  <c r="L48" i="14"/>
  <c r="L54" i="14"/>
  <c r="L56" i="14"/>
  <c r="L55" i="14"/>
  <c r="L57" i="14"/>
  <c r="L58" i="14"/>
  <c r="L59" i="14"/>
  <c r="L51" i="14"/>
  <c r="L52" i="14"/>
  <c r="L42" i="14"/>
  <c r="L43" i="14"/>
  <c r="L44" i="14"/>
  <c r="L45" i="14"/>
  <c r="L7" i="14"/>
  <c r="L8" i="14"/>
  <c r="L38" i="14"/>
  <c r="L39" i="14"/>
  <c r="L40" i="14"/>
  <c r="L41" i="14"/>
  <c r="L29" i="14"/>
  <c r="L28" i="14"/>
  <c r="L27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37" i="14"/>
  <c r="L30" i="14"/>
  <c r="L31" i="14"/>
  <c r="L32" i="14"/>
  <c r="L33" i="14"/>
  <c r="L34" i="14"/>
  <c r="L35" i="14"/>
  <c r="L36" i="14"/>
  <c r="L45" i="12"/>
  <c r="L43" i="12"/>
  <c r="L50" i="12"/>
  <c r="L48" i="12"/>
  <c r="M48" i="12" s="1"/>
  <c r="L46" i="12"/>
  <c r="L44" i="12"/>
  <c r="L42" i="12"/>
  <c r="L51" i="12"/>
  <c r="L49" i="12"/>
  <c r="L41" i="12"/>
  <c r="L40" i="12"/>
  <c r="L38" i="12"/>
  <c r="L39" i="12"/>
  <c r="L37" i="12"/>
  <c r="L33" i="12"/>
  <c r="L34" i="12"/>
  <c r="L47" i="12"/>
  <c r="M47" i="12" s="1"/>
  <c r="L36" i="12"/>
  <c r="L35" i="12"/>
  <c r="L15" i="12"/>
  <c r="L16" i="12"/>
  <c r="L17" i="12"/>
  <c r="L18" i="12"/>
  <c r="L19" i="12"/>
  <c r="L20" i="12"/>
  <c r="L21" i="12"/>
  <c r="L22" i="12"/>
  <c r="L52" i="12"/>
  <c r="M52" i="12" s="1"/>
  <c r="L5" i="12"/>
  <c r="L6" i="12"/>
  <c r="L23" i="12"/>
  <c r="L24" i="12"/>
  <c r="L25" i="12"/>
  <c r="L26" i="12"/>
  <c r="L27" i="12"/>
  <c r="L28" i="12"/>
  <c r="L29" i="12"/>
  <c r="L30" i="12"/>
  <c r="L31" i="12"/>
  <c r="L32" i="12"/>
  <c r="L9" i="12"/>
  <c r="L10" i="12"/>
  <c r="L11" i="12"/>
  <c r="L12" i="12"/>
  <c r="L13" i="12"/>
  <c r="L14" i="12"/>
  <c r="L7" i="12"/>
  <c r="M8" i="12" s="1"/>
  <c r="L8" i="12"/>
  <c r="L16" i="10"/>
  <c r="M16" i="10" s="1"/>
  <c r="L17" i="10"/>
  <c r="L20" i="10"/>
  <c r="L28" i="10"/>
  <c r="L27" i="10"/>
  <c r="L24" i="10"/>
  <c r="L29" i="10"/>
  <c r="L25" i="10"/>
  <c r="L10" i="10"/>
  <c r="L14" i="10"/>
  <c r="L5" i="14"/>
  <c r="L6" i="14"/>
  <c r="M25" i="10"/>
  <c r="M6" i="12"/>
  <c r="M23" i="10"/>
  <c r="M26" i="14" l="1"/>
  <c r="M32" i="14"/>
  <c r="M51" i="14"/>
  <c r="M82" i="14"/>
  <c r="M437" i="14"/>
  <c r="M35" i="14"/>
  <c r="M60" i="14"/>
  <c r="M65" i="14"/>
  <c r="M314" i="14"/>
  <c r="M551" i="14"/>
  <c r="M48" i="14"/>
  <c r="M87" i="14"/>
  <c r="M133" i="14"/>
  <c r="M97" i="14"/>
  <c r="M190" i="14"/>
  <c r="M241" i="14"/>
  <c r="M479" i="14"/>
  <c r="M439" i="14"/>
  <c r="M422" i="14"/>
  <c r="M417" i="14"/>
  <c r="M400" i="14"/>
  <c r="M350" i="14"/>
  <c r="M307" i="14"/>
  <c r="M365" i="14"/>
  <c r="M330" i="14"/>
  <c r="M434" i="14"/>
  <c r="M393" i="14"/>
  <c r="M319" i="14"/>
  <c r="M477" i="14"/>
  <c r="M538" i="14"/>
  <c r="M299" i="14"/>
  <c r="M395" i="14"/>
  <c r="M317" i="14"/>
  <c r="M305" i="14"/>
  <c r="M321" i="14"/>
  <c r="M506" i="14"/>
  <c r="M356" i="14"/>
  <c r="M280" i="14"/>
  <c r="M270" i="14"/>
  <c r="M268" i="14"/>
  <c r="M265" i="14"/>
  <c r="M248" i="14"/>
  <c r="M235" i="14"/>
  <c r="M233" i="14"/>
  <c r="M215" i="14"/>
  <c r="M210" i="14"/>
  <c r="M193" i="14"/>
  <c r="M184" i="14"/>
  <c r="M182" i="14"/>
  <c r="M177" i="14"/>
  <c r="M175" i="14"/>
  <c r="M170" i="14"/>
  <c r="M159" i="14"/>
  <c r="M147" i="14"/>
  <c r="M145" i="14"/>
  <c r="M562" i="14"/>
  <c r="L9" i="8"/>
  <c r="M9" i="8" s="1"/>
  <c r="M7" i="10"/>
  <c r="M9" i="10"/>
  <c r="M116" i="14"/>
  <c r="M95" i="14"/>
  <c r="M20" i="10"/>
  <c r="M46" i="12"/>
  <c r="M51" i="12"/>
  <c r="M34" i="12"/>
  <c r="M36" i="12"/>
  <c r="M41" i="12"/>
  <c r="M22" i="12"/>
  <c r="M54" i="12" a="1"/>
  <c r="M54" i="12" s="1"/>
  <c r="D9" i="7" s="1"/>
  <c r="M32" i="12"/>
  <c r="M14" i="12"/>
  <c r="M15" i="10"/>
  <c r="M33" i="10" a="1"/>
  <c r="M33" i="10" s="1"/>
  <c r="D8" i="7" s="1"/>
  <c r="M31" i="10"/>
  <c r="D10" i="7" l="1"/>
  <c r="G35" i="8"/>
  <c r="H35" i="8" s="1"/>
  <c r="L35" i="8" s="1"/>
  <c r="G36" i="8"/>
  <c r="H36" i="8" s="1"/>
  <c r="L36" i="8" s="1"/>
  <c r="G20" i="8"/>
  <c r="H20" i="8" s="1"/>
  <c r="L20" i="8" s="1"/>
  <c r="G21" i="8"/>
  <c r="H21" i="8" s="1"/>
  <c r="L21" i="8" s="1"/>
  <c r="G27" i="8"/>
  <c r="H27" i="8" s="1"/>
  <c r="L27" i="8" s="1"/>
  <c r="G28" i="8"/>
  <c r="H28" i="8" s="1"/>
  <c r="L28" i="8" s="1"/>
  <c r="G29" i="8"/>
  <c r="H29" i="8" s="1"/>
  <c r="L29" i="8" s="1"/>
  <c r="G30" i="8"/>
  <c r="H30" i="8" s="1"/>
  <c r="L30" i="8" s="1"/>
  <c r="G31" i="8"/>
  <c r="H31" i="8" s="1"/>
  <c r="L31" i="8" s="1"/>
  <c r="G32" i="8"/>
  <c r="H32" i="8" s="1"/>
  <c r="L32" i="8" s="1"/>
  <c r="G34" i="8"/>
  <c r="H34" i="8" s="1"/>
  <c r="L34" i="8" s="1"/>
  <c r="G25" i="8"/>
  <c r="H25" i="8" s="1"/>
  <c r="L25" i="8" s="1"/>
  <c r="M25" i="8" s="1"/>
  <c r="G26" i="8"/>
  <c r="H26" i="8" s="1"/>
  <c r="L26" i="8" s="1"/>
  <c r="M26" i="8" s="1"/>
  <c r="G22" i="8"/>
  <c r="H22" i="8" s="1"/>
  <c r="L22" i="8" s="1"/>
  <c r="G23" i="8"/>
  <c r="H23" i="8" s="1"/>
  <c r="L23" i="8" s="1"/>
  <c r="G33" i="8"/>
  <c r="H33" i="8" s="1"/>
  <c r="L33" i="8" s="1"/>
  <c r="M33" i="8" s="1"/>
  <c r="G37" i="8"/>
  <c r="H37" i="8" s="1"/>
  <c r="L37" i="8" s="1"/>
  <c r="G13" i="8"/>
  <c r="H13" i="8" s="1"/>
  <c r="L13" i="8" s="1"/>
  <c r="G14" i="8"/>
  <c r="H14" i="8" s="1"/>
  <c r="L14" i="8" s="1"/>
  <c r="G15" i="8"/>
  <c r="H15" i="8" s="1"/>
  <c r="L15" i="8" s="1"/>
  <c r="G16" i="8"/>
  <c r="H16" i="8" s="1"/>
  <c r="L16" i="8" s="1"/>
  <c r="G17" i="8"/>
  <c r="H17" i="8" s="1"/>
  <c r="L17" i="8" s="1"/>
  <c r="G18" i="8"/>
  <c r="H18" i="8" s="1"/>
  <c r="L18" i="8" s="1"/>
  <c r="G10" i="8"/>
  <c r="H10" i="8" s="1"/>
  <c r="L10" i="8" s="1"/>
  <c r="G24" i="8"/>
  <c r="H24" i="8" s="1"/>
  <c r="L24" i="8" s="1"/>
  <c r="M24" i="8" s="1"/>
  <c r="G11" i="8"/>
  <c r="H11" i="8" s="1"/>
  <c r="L11" i="8" s="1"/>
  <c r="G12" i="8"/>
  <c r="H12" i="8" s="1"/>
  <c r="L12" i="8" s="1"/>
  <c r="M12" i="8" s="1"/>
  <c r="G19" i="8"/>
  <c r="H19" i="8" s="1"/>
  <c r="L19" i="8" s="1"/>
  <c r="M19" i="8" s="1"/>
  <c r="E35" i="8"/>
  <c r="E36" i="8"/>
  <c r="E20" i="8"/>
  <c r="E21" i="8"/>
  <c r="E27" i="8"/>
  <c r="E28" i="8"/>
  <c r="E29" i="8"/>
  <c r="E30" i="8"/>
  <c r="E31" i="8"/>
  <c r="E32" i="8"/>
  <c r="E34" i="8"/>
  <c r="E25" i="8"/>
  <c r="E26" i="8"/>
  <c r="E22" i="8"/>
  <c r="E23" i="8"/>
  <c r="E33" i="8"/>
  <c r="E37" i="8"/>
  <c r="E13" i="8"/>
  <c r="E14" i="8"/>
  <c r="E15" i="8"/>
  <c r="E16" i="8"/>
  <c r="E17" i="8"/>
  <c r="E18" i="8"/>
  <c r="E10" i="8"/>
  <c r="E24" i="8"/>
  <c r="E11" i="8"/>
  <c r="E12" i="8"/>
  <c r="E19" i="8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E28" i="4"/>
  <c r="G28" i="4" s="1"/>
  <c r="H28" i="4" s="1"/>
  <c r="E5" i="4"/>
  <c r="G5" i="4" s="1"/>
  <c r="H5" i="4" s="1"/>
  <c r="E6" i="4"/>
  <c r="G6" i="4" s="1"/>
  <c r="H6" i="4" s="1"/>
  <c r="E7" i="4"/>
  <c r="G7" i="4" s="1"/>
  <c r="H7" i="4" s="1"/>
  <c r="E8" i="4"/>
  <c r="G8" i="4" s="1"/>
  <c r="H8" i="4" s="1"/>
  <c r="E9" i="4"/>
  <c r="G9" i="4" s="1"/>
  <c r="H9" i="4" s="1"/>
  <c r="E10" i="4"/>
  <c r="G10" i="4" s="1"/>
  <c r="H10" i="4" s="1"/>
  <c r="E11" i="4"/>
  <c r="G11" i="4" s="1"/>
  <c r="H11" i="4" s="1"/>
  <c r="E12" i="4"/>
  <c r="G12" i="4" s="1"/>
  <c r="H12" i="4" s="1"/>
  <c r="E13" i="4"/>
  <c r="G13" i="4" s="1"/>
  <c r="H13" i="4" s="1"/>
  <c r="E14" i="4"/>
  <c r="G14" i="4" s="1"/>
  <c r="H14" i="4" s="1"/>
  <c r="E15" i="4"/>
  <c r="G15" i="4" s="1"/>
  <c r="H15" i="4" s="1"/>
  <c r="E16" i="4"/>
  <c r="G16" i="4" s="1"/>
  <c r="H16" i="4" s="1"/>
  <c r="E17" i="4"/>
  <c r="G17" i="4" s="1"/>
  <c r="H17" i="4" s="1"/>
  <c r="E18" i="4"/>
  <c r="G18" i="4" s="1"/>
  <c r="H18" i="4" s="1"/>
  <c r="E19" i="4"/>
  <c r="G19" i="4" s="1"/>
  <c r="H19" i="4" s="1"/>
  <c r="E20" i="4"/>
  <c r="G20" i="4" s="1"/>
  <c r="H20" i="4" s="1"/>
  <c r="E21" i="4"/>
  <c r="G21" i="4" s="1"/>
  <c r="H21" i="4" s="1"/>
  <c r="E22" i="4"/>
  <c r="G22" i="4" s="1"/>
  <c r="H22" i="4" s="1"/>
  <c r="E23" i="4"/>
  <c r="G23" i="4" s="1"/>
  <c r="H23" i="4" s="1"/>
  <c r="E24" i="4"/>
  <c r="G24" i="4" s="1"/>
  <c r="H24" i="4" s="1"/>
  <c r="E25" i="4"/>
  <c r="G25" i="4" s="1"/>
  <c r="H25" i="4" s="1"/>
  <c r="E26" i="4"/>
  <c r="G26" i="4" s="1"/>
  <c r="H26" i="4" s="1"/>
  <c r="E27" i="4"/>
  <c r="G27" i="4" s="1"/>
  <c r="H27" i="4" s="1"/>
  <c r="E12" i="5"/>
  <c r="M34" i="8" l="1"/>
  <c r="M11" i="8"/>
  <c r="M35" i="8"/>
  <c r="M21" i="8"/>
  <c r="M18" i="8"/>
  <c r="M23" i="8"/>
  <c r="M37" i="8"/>
  <c r="M32" i="8"/>
  <c r="M30" i="8"/>
  <c r="I50" i="3"/>
  <c r="E14" i="6" s="1"/>
  <c r="E13" i="6" s="1"/>
  <c r="G31" i="2"/>
  <c r="G21" i="2"/>
  <c r="G14" i="2"/>
  <c r="G6" i="2"/>
  <c r="G32" i="2" l="1"/>
  <c r="G33" i="2" s="1"/>
  <c r="M41" i="8" a="1"/>
  <c r="M41" i="8" s="1"/>
  <c r="M39" i="8" l="1"/>
  <c r="D7" i="7" l="1"/>
  <c r="D16" i="7" s="1"/>
  <c r="D32" i="7"/>
  <c r="E7" i="6" l="1"/>
  <c r="E6" i="6" s="1"/>
  <c r="E17" i="6" s="1"/>
  <c r="E23" i="6" s="1"/>
  <c r="E25" i="6" s="1"/>
  <c r="E27" i="6" s="1"/>
  <c r="E10" i="6" l="1"/>
  <c r="E1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tc={0EFBC8E0-AC8E-4735-B79F-2F77549E63DC}</author>
    <author>tc={802F2FD0-85CA-477A-8F1F-266F31886817}</author>
    <author>tc={C66215DD-C67F-49DD-935D-15D5ACAE8EBF}</author>
  </authors>
  <commentList>
    <comment ref="C11" authorId="0" shapeId="0" xr:uid="{0EFBC8E0-AC8E-4735-B79F-2F77549E63DC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Colocar descrição na despesa da coluna de observação</t>
      </text>
    </comment>
    <comment ref="C19" authorId="1" shapeId="0" xr:uid="{802F2FD0-85CA-477A-8F1F-266F3188681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Colocar descrição na despesa da coluna de observação</t>
      </text>
    </comment>
    <comment ref="C27" authorId="2" shapeId="0" xr:uid="{C66215DD-C67F-49DD-935D-15D5ACAE8EB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Colocar descrição na despesa da coluna de observação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tc={3444D07A-7EE2-4476-9AB4-B2DD3408EFA0}</author>
    <author>tc={8EB0B7B8-4FEC-4021-ACED-15A2609996E8}</author>
  </authors>
  <commentList>
    <comment ref="B7" authorId="0" shapeId="0" xr:uid="{3444D07A-7EE2-4476-9AB4-B2DD3408EFA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Exemplos: Carrinhos, balanças, cortador de queijo, etc</t>
      </text>
    </comment>
    <comment ref="B8" authorId="1" shapeId="0" xr:uid="{8EB0B7B8-4FEC-4021-ACED-15A2609996E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Exemplos: Estantes, prateleiras, etc.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tc={CE43DC1C-FCCB-414E-BA13-A06B37D5BE8F}</author>
  </authors>
  <commentList>
    <comment ref="C10" authorId="0" shapeId="0" xr:uid="{CE43DC1C-FCCB-414E-BA13-A06B37D5BE8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Imposto considerado = 15%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<sst xmlns="http://schemas.openxmlformats.org/spreadsheetml/2006/main" count="2071" uniqueCount="173">
  <si>
    <t>Despesas</t>
  </si>
  <si>
    <t>Investimentos</t>
  </si>
  <si>
    <t>Aluguel Loja</t>
  </si>
  <si>
    <t>Funcionários</t>
  </si>
  <si>
    <t>Salários</t>
  </si>
  <si>
    <t>Bonificações</t>
  </si>
  <si>
    <t>Impostos</t>
  </si>
  <si>
    <t>Vales (Refeição, Transporte)</t>
  </si>
  <si>
    <t>Informática</t>
  </si>
  <si>
    <t>Outros</t>
  </si>
  <si>
    <t>Manuntenção de Equipamentos</t>
  </si>
  <si>
    <t>Limpeza</t>
  </si>
  <si>
    <t>Despesas de Funcionamento</t>
  </si>
  <si>
    <t>Data</t>
  </si>
  <si>
    <t>Valor Intermediário</t>
  </si>
  <si>
    <t>Valor Final</t>
  </si>
  <si>
    <t>Serviços Terceirizados</t>
  </si>
  <si>
    <t>Escritório Contábil</t>
  </si>
  <si>
    <t>Escritório Advocacia</t>
  </si>
  <si>
    <t>Entregas</t>
  </si>
  <si>
    <t>Marketing</t>
  </si>
  <si>
    <t>Seguros</t>
  </si>
  <si>
    <t>Itens Despesas</t>
  </si>
  <si>
    <t>Água</t>
  </si>
  <si>
    <t>Energia</t>
  </si>
  <si>
    <t>Gás</t>
  </si>
  <si>
    <t>Telefone</t>
  </si>
  <si>
    <t xml:space="preserve">Despesas Funcionamento </t>
  </si>
  <si>
    <t>Observação</t>
  </si>
  <si>
    <t>Férias, Licença Maternidade</t>
  </si>
  <si>
    <t>Total de  Despesas Funcionamento</t>
  </si>
  <si>
    <t>Compras Mercadorias</t>
  </si>
  <si>
    <t>Arroz</t>
  </si>
  <si>
    <t>Feijão</t>
  </si>
  <si>
    <t>Tomate</t>
  </si>
  <si>
    <t>Alface</t>
  </si>
  <si>
    <t>Carne</t>
  </si>
  <si>
    <t>Frango</t>
  </si>
  <si>
    <t>Peixe</t>
  </si>
  <si>
    <t>Queijo</t>
  </si>
  <si>
    <t>Vinho</t>
  </si>
  <si>
    <t>Suco</t>
  </si>
  <si>
    <t>Cenoura</t>
  </si>
  <si>
    <t>Vagem</t>
  </si>
  <si>
    <t>Amendoim</t>
  </si>
  <si>
    <t>Cerveja</t>
  </si>
  <si>
    <t>Vodka</t>
  </si>
  <si>
    <t>Couve</t>
  </si>
  <si>
    <t>Caixa de Fósforo</t>
  </si>
  <si>
    <t>Fornecedor</t>
  </si>
  <si>
    <t>Mercadoria</t>
  </si>
  <si>
    <t>Medida</t>
  </si>
  <si>
    <t>Quantidade</t>
  </si>
  <si>
    <t>Preço Unitário</t>
  </si>
  <si>
    <t>Desconto</t>
  </si>
  <si>
    <t>Valor Pago</t>
  </si>
  <si>
    <t>Bala</t>
  </si>
  <si>
    <t>Chocolate</t>
  </si>
  <si>
    <t>Cigarro</t>
  </si>
  <si>
    <t>Barra de Cereal</t>
  </si>
  <si>
    <t>Produtos</t>
  </si>
  <si>
    <t>Preço de Compra Unitário</t>
  </si>
  <si>
    <t>Preço de Venda Unitário</t>
  </si>
  <si>
    <t>Unidade</t>
  </si>
  <si>
    <t>Pacote</t>
  </si>
  <si>
    <t>Kg</t>
  </si>
  <si>
    <t>Leite</t>
  </si>
  <si>
    <t>Litro</t>
  </si>
  <si>
    <t>Lata</t>
  </si>
  <si>
    <t>Barra</t>
  </si>
  <si>
    <t>Maço</t>
  </si>
  <si>
    <t>Pão de Forma</t>
  </si>
  <si>
    <t>Refrigerante</t>
  </si>
  <si>
    <t>Garrafa</t>
  </si>
  <si>
    <t>Fornecedor de Verduras</t>
  </si>
  <si>
    <t>Fornecedor de Grãos e Sementes</t>
  </si>
  <si>
    <t>Fornecedor de Bebidas</t>
  </si>
  <si>
    <t>Fornecedor de Cigarro</t>
  </si>
  <si>
    <t>Fornecedor de Doces</t>
  </si>
  <si>
    <t>Padaria</t>
  </si>
  <si>
    <t>Fornecedor de Frango</t>
  </si>
  <si>
    <t>Fornecedor de Peixe</t>
  </si>
  <si>
    <t>Fornecedor de Legumes</t>
  </si>
  <si>
    <t>Fornecedor de Carne</t>
  </si>
  <si>
    <t>Total Compras de Mercadorias</t>
  </si>
  <si>
    <t>Total de Despesas</t>
  </si>
  <si>
    <t>Investimento Inicial</t>
  </si>
  <si>
    <t>Investimento</t>
  </si>
  <si>
    <t>Descrição</t>
  </si>
  <si>
    <t>Valor</t>
  </si>
  <si>
    <t>Documentação, Sistema de Informação, Estrutura Inicial, Sistema de Refrigeração, Equipamentos</t>
  </si>
  <si>
    <t>Total de Investimentos</t>
  </si>
  <si>
    <t>Controle de Estoque</t>
  </si>
  <si>
    <t>Produto</t>
  </si>
  <si>
    <t>Data da Última Compra</t>
  </si>
  <si>
    <t>Quantidade inicial</t>
  </si>
  <si>
    <t>Quantidade Vendida</t>
  </si>
  <si>
    <t>Quantidade Atual</t>
  </si>
  <si>
    <t>Situação</t>
  </si>
  <si>
    <t>Quantidade Comprada</t>
  </si>
  <si>
    <t>Vendas Semana 1</t>
  </si>
  <si>
    <t>Id da Venda</t>
  </si>
  <si>
    <t>Subtotal</t>
  </si>
  <si>
    <t>Região de Entrega</t>
  </si>
  <si>
    <t>Valor de Entrega</t>
  </si>
  <si>
    <t>Total</t>
  </si>
  <si>
    <t>Total para Cliente</t>
  </si>
  <si>
    <t>Preço de Entrega</t>
  </si>
  <si>
    <t>Centro</t>
  </si>
  <si>
    <t>Loja</t>
  </si>
  <si>
    <t>Zona Norte</t>
  </si>
  <si>
    <t>Zona Oeste</t>
  </si>
  <si>
    <t>Zona Sul</t>
  </si>
  <si>
    <t>Receita de Vendas na Semana</t>
  </si>
  <si>
    <t>Receita de Entregas</t>
  </si>
  <si>
    <t>Vendas Semana 2</t>
  </si>
  <si>
    <t>Vendas Semana 3</t>
  </si>
  <si>
    <t>Vendas Semana 4</t>
  </si>
  <si>
    <t>Batata Inglesa</t>
  </si>
  <si>
    <t>Batata Doce</t>
  </si>
  <si>
    <t>Laranja</t>
  </si>
  <si>
    <t>Ameixa</t>
  </si>
  <si>
    <t>Banana</t>
  </si>
  <si>
    <t>Maracujá</t>
  </si>
  <si>
    <t>Mexerica</t>
  </si>
  <si>
    <t>Escarola</t>
  </si>
  <si>
    <t>Repolho</t>
  </si>
  <si>
    <t>Goiaba</t>
  </si>
  <si>
    <t>Melão</t>
  </si>
  <si>
    <t>Melancia</t>
  </si>
  <si>
    <t>Abobrinha</t>
  </si>
  <si>
    <t>Pepino</t>
  </si>
  <si>
    <t>Quiabo</t>
  </si>
  <si>
    <t>Jiló</t>
  </si>
  <si>
    <t>Lichia</t>
  </si>
  <si>
    <t>Milho</t>
  </si>
  <si>
    <t>Salsão</t>
  </si>
  <si>
    <t>Ervilha Torta</t>
  </si>
  <si>
    <t>Vendas</t>
  </si>
  <si>
    <t>Ticket Médio</t>
  </si>
  <si>
    <t>Quantidade de Vendas por Região</t>
  </si>
  <si>
    <t>Setembro</t>
  </si>
  <si>
    <t>Total de vendas Semana 1</t>
  </si>
  <si>
    <t>Total de vendas Semana 2</t>
  </si>
  <si>
    <t>Total de vendas Semana 3</t>
  </si>
  <si>
    <t>Total de vendas Semana 4</t>
  </si>
  <si>
    <t>Vendas por Entrega (%)</t>
  </si>
  <si>
    <t>Vendas por Entrega (R$)</t>
  </si>
  <si>
    <t>Receita de Entregas (R$)</t>
  </si>
  <si>
    <t xml:space="preserve"> Número de Vendas</t>
  </si>
  <si>
    <t>Número de Vendas</t>
  </si>
  <si>
    <t>Resultados</t>
  </si>
  <si>
    <t>Total de Receitas</t>
  </si>
  <si>
    <t>Imposto sobre Receita</t>
  </si>
  <si>
    <t>Receita Líquida</t>
  </si>
  <si>
    <t>Resultado Bruto</t>
  </si>
  <si>
    <t>Depreciação e Amortização</t>
  </si>
  <si>
    <t>Resultado antes do Imposto</t>
  </si>
  <si>
    <t>Imposto</t>
  </si>
  <si>
    <t>Resultado Líquido</t>
  </si>
  <si>
    <t>Receita Mercadorias</t>
  </si>
  <si>
    <t>Receita das Entregas</t>
  </si>
  <si>
    <t>Despesas Mercadorias</t>
  </si>
  <si>
    <t>Despesas Funcionamento</t>
  </si>
  <si>
    <t xml:space="preserve">Equipamentos </t>
  </si>
  <si>
    <t xml:space="preserve">Estrutura </t>
  </si>
  <si>
    <t>Fornecedor de Frutas</t>
  </si>
  <si>
    <t>Rótulos de Linha</t>
  </si>
  <si>
    <t>Total Geral</t>
  </si>
  <si>
    <t>Soma de Quantidade</t>
  </si>
  <si>
    <t>Soma de Total</t>
  </si>
  <si>
    <t>Soma de Valor de Entrega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</si>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</sst>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4"/>
      <color theme="3" tint="0.249977111117893"/>
      <name val="Aptos Narrow"/>
      <family val="2"/>
      <scheme val="minor"/>
    </font>
    <font>
      <b/>
      <sz val="14"/>
      <color rgb="FF479428"/>
      <name val="Aptos Narrow"/>
      <family val="2"/>
      <scheme val="minor"/>
    </font>
    <font>
      <sz val="11"/>
      <color rgb="FF479428"/>
      <name val="Aptos Narrow"/>
      <family val="2"/>
      <scheme val="minor"/>
    </font>
    <font>
      <sz val="8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rgb="FF479428"/>
      <name val="Aptos Narrow"/>
      <family val="2"/>
      <scheme val="minor"/>
    </font>
    <font>
      <b/>
      <u/>
      <sz val="16"/>
      <color rgb="FF479428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479428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002060"/>
      </bottom>
      <diagonal/>
    </border>
    <border>
      <left/>
      <right/>
      <top style="thin">
        <color rgb="FF002060"/>
      </top>
      <bottom style="thin">
        <color rgb="FF00206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002060"/>
      </left>
      <right/>
      <top/>
      <bottom/>
      <diagonal/>
    </border>
    <border>
      <left/>
      <right/>
      <top/>
      <bottom style="thin">
        <color rgb="FF479428"/>
      </bottom>
      <diagonal/>
    </border>
    <border>
      <left/>
      <right/>
      <top style="thin">
        <color rgb="FF479428"/>
      </top>
      <bottom style="thin">
        <color rgb="FF479428"/>
      </bottom>
      <diagonal/>
    </border>
    <border>
      <left/>
      <right/>
      <top style="thin">
        <color rgb="FF479428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double">
        <color rgb="FF002060"/>
      </bottom>
      <diagonal/>
    </border>
    <border>
      <left/>
      <right/>
      <top/>
      <bottom style="double">
        <color rgb="FF002060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2">
    <xf numFmtId="0" fontId="0" fillId="0" borderId="0" xfId="0"/>
    <xf numFmtId="0" fontId="0" fillId="2" borderId="0" xfId="0" applyFill="1"/>
    <xf numFmtId="0" fontId="3" fillId="0" borderId="0" xfId="0" applyFont="1"/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2" fillId="0" borderId="0" xfId="0" applyFont="1"/>
    <xf numFmtId="44" fontId="0" fillId="0" borderId="0" xfId="1" applyFont="1"/>
    <xf numFmtId="14" fontId="0" fillId="0" borderId="0" xfId="0" applyNumberFormat="1"/>
    <xf numFmtId="44" fontId="2" fillId="0" borderId="0" xfId="1" applyFont="1"/>
    <xf numFmtId="14" fontId="0" fillId="0" borderId="0" xfId="0" applyNumberFormat="1" applyAlignment="1">
      <alignment vertical="center"/>
    </xf>
    <xf numFmtId="0" fontId="6" fillId="0" borderId="0" xfId="0" applyFont="1" applyAlignment="1">
      <alignment vertical="center"/>
    </xf>
    <xf numFmtId="9" fontId="0" fillId="0" borderId="0" xfId="2" applyFont="1"/>
    <xf numFmtId="0" fontId="0" fillId="0" borderId="0" xfId="0" applyAlignment="1">
      <alignment horizontal="center"/>
    </xf>
    <xf numFmtId="0" fontId="6" fillId="0" borderId="2" xfId="0" applyFont="1" applyBorder="1" applyAlignment="1">
      <alignment vertical="center"/>
    </xf>
    <xf numFmtId="0" fontId="0" fillId="0" borderId="2" xfId="0" applyBorder="1"/>
    <xf numFmtId="44" fontId="6" fillId="0" borderId="2" xfId="1" applyFont="1" applyBorder="1"/>
    <xf numFmtId="44" fontId="6" fillId="0" borderId="1" xfId="1" applyFont="1" applyBorder="1"/>
    <xf numFmtId="44" fontId="6" fillId="0" borderId="0" xfId="0" applyNumberFormat="1" applyFont="1"/>
    <xf numFmtId="14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left" vertical="center"/>
    </xf>
    <xf numFmtId="14" fontId="0" fillId="0" borderId="0" xfId="0" applyNumberFormat="1" applyAlignment="1">
      <alignment horizontal="center"/>
    </xf>
    <xf numFmtId="0" fontId="0" fillId="0" borderId="3" xfId="0" applyBorder="1"/>
    <xf numFmtId="0" fontId="0" fillId="0" borderId="5" xfId="0" applyBorder="1"/>
    <xf numFmtId="0" fontId="4" fillId="3" borderId="0" xfId="0" applyFont="1" applyFill="1" applyAlignment="1">
      <alignment horizontal="left" vertical="center"/>
    </xf>
    <xf numFmtId="0" fontId="5" fillId="3" borderId="0" xfId="0" applyFont="1" applyFill="1" applyAlignment="1">
      <alignment horizontal="left" vertical="center"/>
    </xf>
    <xf numFmtId="0" fontId="7" fillId="0" borderId="3" xfId="0" applyFont="1" applyBorder="1" applyAlignment="1">
      <alignment vertical="center"/>
    </xf>
    <xf numFmtId="0" fontId="8" fillId="0" borderId="3" xfId="0" applyFont="1" applyBorder="1"/>
    <xf numFmtId="44" fontId="7" fillId="0" borderId="3" xfId="1" applyFont="1" applyBorder="1"/>
    <xf numFmtId="44" fontId="7" fillId="0" borderId="3" xfId="0" applyNumberFormat="1" applyFont="1" applyBorder="1"/>
    <xf numFmtId="0" fontId="7" fillId="0" borderId="5" xfId="0" applyFont="1" applyBorder="1" applyAlignment="1">
      <alignment vertical="center"/>
    </xf>
    <xf numFmtId="0" fontId="8" fillId="0" borderId="5" xfId="0" applyFont="1" applyBorder="1"/>
    <xf numFmtId="44" fontId="7" fillId="0" borderId="5" xfId="0" applyNumberFormat="1" applyFont="1" applyBorder="1"/>
    <xf numFmtId="0" fontId="0" fillId="3" borderId="0" xfId="0" applyFill="1"/>
    <xf numFmtId="10" fontId="0" fillId="0" borderId="0" xfId="2" applyNumberFormat="1" applyFont="1"/>
    <xf numFmtId="0" fontId="12" fillId="0" borderId="0" xfId="0" applyFont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1" fillId="0" borderId="0" xfId="0" applyFont="1"/>
    <xf numFmtId="44" fontId="11" fillId="0" borderId="0" xfId="0" applyNumberFormat="1" applyFont="1"/>
    <xf numFmtId="0" fontId="11" fillId="0" borderId="3" xfId="0" applyFont="1" applyBorder="1"/>
    <xf numFmtId="44" fontId="11" fillId="0" borderId="3" xfId="0" applyNumberFormat="1" applyFont="1" applyBorder="1"/>
    <xf numFmtId="0" fontId="11" fillId="0" borderId="4" xfId="0" applyFont="1" applyBorder="1"/>
    <xf numFmtId="44" fontId="11" fillId="0" borderId="4" xfId="0" applyNumberFormat="1" applyFont="1" applyBorder="1"/>
    <xf numFmtId="0" fontId="11" fillId="0" borderId="5" xfId="0" applyFont="1" applyBorder="1"/>
    <xf numFmtId="44" fontId="11" fillId="0" borderId="5" xfId="1" applyFont="1" applyBorder="1"/>
    <xf numFmtId="0" fontId="7" fillId="0" borderId="0" xfId="0" applyFont="1"/>
    <xf numFmtId="44" fontId="7" fillId="0" borderId="0" xfId="0" applyNumberFormat="1" applyFont="1"/>
    <xf numFmtId="0" fontId="7" fillId="0" borderId="5" xfId="0" applyFont="1" applyBorder="1" applyAlignment="1">
      <alignment horizontal="right"/>
    </xf>
    <xf numFmtId="9" fontId="11" fillId="0" borderId="0" xfId="2" applyFont="1" applyBorder="1"/>
    <xf numFmtId="0" fontId="0" fillId="0" borderId="14" xfId="0" applyBorder="1"/>
    <xf numFmtId="0" fontId="11" fillId="0" borderId="15" xfId="0" applyFont="1" applyBorder="1"/>
    <xf numFmtId="0" fontId="11" fillId="0" borderId="16" xfId="0" applyFont="1" applyBorder="1"/>
    <xf numFmtId="0" fontId="11" fillId="0" borderId="17" xfId="0" applyFont="1" applyBorder="1"/>
    <xf numFmtId="0" fontId="13" fillId="0" borderId="6" xfId="0" applyFont="1" applyBorder="1"/>
    <xf numFmtId="44" fontId="13" fillId="0" borderId="6" xfId="0" applyNumberFormat="1" applyFont="1" applyBorder="1"/>
    <xf numFmtId="0" fontId="13" fillId="0" borderId="0" xfId="0" applyFont="1"/>
    <xf numFmtId="0" fontId="13" fillId="0" borderId="7" xfId="0" applyFont="1" applyBorder="1"/>
    <xf numFmtId="44" fontId="13" fillId="0" borderId="7" xfId="0" applyNumberFormat="1" applyFont="1" applyBorder="1"/>
    <xf numFmtId="44" fontId="13" fillId="0" borderId="0" xfId="0" applyNumberFormat="1" applyFont="1"/>
    <xf numFmtId="44" fontId="13" fillId="0" borderId="0" xfId="1" applyFont="1"/>
    <xf numFmtId="0" fontId="13" fillId="0" borderId="18" xfId="0" applyFont="1" applyBorder="1"/>
    <xf numFmtId="44" fontId="13" fillId="0" borderId="18" xfId="1" applyFont="1" applyBorder="1"/>
    <xf numFmtId="44" fontId="13" fillId="0" borderId="18" xfId="0" applyNumberFormat="1" applyFont="1" applyBorder="1"/>
    <xf numFmtId="0" fontId="13" fillId="0" borderId="19" xfId="0" applyFont="1" applyBorder="1"/>
    <xf numFmtId="44" fontId="13" fillId="0" borderId="19" xfId="0" applyNumberFormat="1" applyFont="1" applyBorder="1"/>
    <xf numFmtId="0" fontId="13" fillId="0" borderId="20" xfId="0" applyFont="1" applyBorder="1"/>
    <xf numFmtId="44" fontId="13" fillId="0" borderId="20" xfId="0" applyNumberFormat="1" applyFont="1" applyBorder="1"/>
    <xf numFmtId="0" fontId="10" fillId="2" borderId="0" xfId="0" applyFont="1" applyFill="1"/>
    <xf numFmtId="0" fontId="4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left" vertical="center"/>
    </xf>
    <xf numFmtId="0" fontId="0" fillId="0" borderId="0" xfId="0" pivotButton="1"/>
    <xf numFmtId="14" fontId="0" fillId="0" borderId="0" xfId="0" applyNumberFormat="1" applyAlignment="1">
      <alignment horizontal="left"/>
    </xf>
    <xf numFmtId="44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/>
    </xf>
    <xf numFmtId="44" fontId="11" fillId="0" borderId="0" xfId="1" applyFont="1" applyBorder="1"/>
    <xf numFmtId="44" fontId="11" fillId="0" borderId="0" xfId="2" applyNumberFormat="1" applyFont="1" applyBorder="1"/>
  </cellXfs>
  <cellStyles count="3">
    <cellStyle name="Moeda" xfId="1" builtinId="4"/>
    <cellStyle name="Normal" xfId="0" builtinId="0"/>
    <cellStyle name="Porcentagem" xfId="2" builtinId="5"/>
  </cellStyles>
  <dxfs count="52"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font>
        <color theme="9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b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3" tint="0.499984740745262"/>
        </patternFill>
      </fill>
    </dxf>
    <dxf>
      <fill>
        <patternFill>
          <bgColor theme="5" tint="0.39994506668294322"/>
        </patternFill>
      </fill>
    </dxf>
    <dxf>
      <fill>
        <patternFill>
          <bgColor rgb="FFFFFF66"/>
        </patternFill>
      </fill>
    </dxf>
    <dxf>
      <alignment horizontal="general" vertical="center" textRotation="0" wrapText="1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font>
        <b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theme="3" tint="0.499984740745262"/>
        </patternFill>
      </fill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34" formatCode="_-&quot;R$&quot;\ * #,##0.00_-;\-&quot;R$&quot;\ * #,##0.00_-;_-&quot;R$&quot;\ * &quot;-&quot;??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19" formatCode="dd/mm/yyyy"/>
    </dxf>
    <dxf>
      <font>
        <b/>
      </font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solid">
          <fgColor indexed="64"/>
          <bgColor theme="3" tint="0.499984740745262"/>
        </patternFill>
      </fill>
    </dxf>
  </dxfs>
  <tableStyles count="0" defaultTableStyle="TableStyleMedium2" defaultPivotStyle="PivotStyleLight16"/>
  <colors>
    <mruColors>
      <color rgb="FF479428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709186351706036"/>
          <c:y val="5.0925925925925923E-2"/>
          <c:w val="0.79872419072615919"/>
          <c:h val="0.791188393117526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Vendas!$C$7:$C$11</c:f>
              <c:strCache>
                <c:ptCount val="4"/>
                <c:pt idx="0">
                  <c:v>Total de vendas Semana 1</c:v>
                </c:pt>
                <c:pt idx="1">
                  <c:v>Total de vendas Semana 2</c:v>
                </c:pt>
                <c:pt idx="2">
                  <c:v>Total de vendas Semana 3</c:v>
                </c:pt>
                <c:pt idx="3">
                  <c:v>Total de vendas Semana 4</c:v>
                </c:pt>
              </c:strCache>
            </c:strRef>
          </c:cat>
          <c:val>
            <c:numRef>
              <c:f>Vendas!$D$7:$D$11</c:f>
              <c:numCache>
                <c:formatCode>_("R$"* #,##0.00_);_("R$"* \(#,##0.00\);_("R$"* "-"??_);_(@_)</c:formatCode>
                <c:ptCount val="5"/>
                <c:pt idx="0">
                  <c:v>2596.9249999999993</c:v>
                </c:pt>
                <c:pt idx="1">
                  <c:v>5720.5099999999975</c:v>
                </c:pt>
                <c:pt idx="2">
                  <c:v>2939.9900000000007</c:v>
                </c:pt>
                <c:pt idx="3">
                  <c:v>45303.203000000009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20-4EEB-8986-821C4C6BE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2164672"/>
        <c:axId val="192172352"/>
      </c:barChart>
      <c:catAx>
        <c:axId val="19216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172352"/>
        <c:crosses val="autoZero"/>
        <c:auto val="1"/>
        <c:lblAlgn val="ctr"/>
        <c:lblOffset val="100"/>
        <c:noMultiLvlLbl val="0"/>
      </c:catAx>
      <c:valAx>
        <c:axId val="19217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16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606982901971692"/>
          <c:y val="7.542085942451085E-2"/>
          <c:w val="0.59090600429913154"/>
          <c:h val="0.8161979233388110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Vendas!$C$27:$C$28</c:f>
              <c:strCache>
                <c:ptCount val="2"/>
                <c:pt idx="0">
                  <c:v>Vendas por Entrega (R$)</c:v>
                </c:pt>
                <c:pt idx="1">
                  <c:v>Receita de Entregas (R$)</c:v>
                </c:pt>
              </c:strCache>
            </c:strRef>
          </c:cat>
          <c:val>
            <c:numRef>
              <c:f>Vendas!$D$27:$D$28</c:f>
              <c:numCache>
                <c:formatCode>_("R$"* #,##0.00_);_("R$"* \(#,##0.00\);_("R$"* "-"??_);_(@_)</c:formatCode>
                <c:ptCount val="2"/>
                <c:pt idx="0">
                  <c:v>35121.23000000001</c:v>
                </c:pt>
                <c:pt idx="1">
                  <c:v>536.4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5E-435D-A9C8-EBF530D60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5660528"/>
        <c:axId val="185654768"/>
      </c:barChart>
      <c:catAx>
        <c:axId val="185660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654768"/>
        <c:crosses val="autoZero"/>
        <c:auto val="1"/>
        <c:lblAlgn val="ctr"/>
        <c:lblOffset val="100"/>
        <c:noMultiLvlLbl val="0"/>
      </c:catAx>
      <c:valAx>
        <c:axId val="18565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66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5D4-4F33-A8F9-FC8CA5F2683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5D4-4F33-A8F9-FC8CA5F2683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5D4-4F33-A8F9-FC8CA5F2683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5D4-4F33-A8F9-FC8CA5F2683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35D4-4F33-A8F9-FC8CA5F2683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Vendas!$C$44:$C$48</c:f>
              <c:strCache>
                <c:ptCount val="5"/>
                <c:pt idx="0">
                  <c:v>Loja</c:v>
                </c:pt>
                <c:pt idx="1">
                  <c:v>Centro</c:v>
                </c:pt>
                <c:pt idx="2">
                  <c:v>Zona Norte</c:v>
                </c:pt>
                <c:pt idx="3">
                  <c:v>Zona Sul</c:v>
                </c:pt>
                <c:pt idx="4">
                  <c:v>Zona Oeste</c:v>
                </c:pt>
              </c:strCache>
            </c:strRef>
          </c:cat>
          <c:val>
            <c:numRef>
              <c:f>Vendas!$D$44:$D$48</c:f>
              <c:numCache>
                <c:formatCode>General</c:formatCode>
                <c:ptCount val="5"/>
                <c:pt idx="0">
                  <c:v>53</c:v>
                </c:pt>
                <c:pt idx="1">
                  <c:v>18</c:v>
                </c:pt>
                <c:pt idx="2">
                  <c:v>8</c:v>
                </c:pt>
                <c:pt idx="3">
                  <c:v>17</c:v>
                </c:pt>
                <c:pt idx="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53-4210-9117-6755F9F40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Despesas!A1"/><Relationship Id="rId2" Type="http://schemas.openxmlformats.org/officeDocument/2006/relationships/hyperlink" Target="#'Compras Mercadorias'!A1"/><Relationship Id="rId1" Type="http://schemas.openxmlformats.org/officeDocument/2006/relationships/image" Target="../media/image1.jpeg"/><Relationship Id="rId6" Type="http://schemas.openxmlformats.org/officeDocument/2006/relationships/hyperlink" Target="#Resultados!A1"/><Relationship Id="rId5" Type="http://schemas.openxmlformats.org/officeDocument/2006/relationships/hyperlink" Target="#Vendas!A1"/><Relationship Id="rId4" Type="http://schemas.openxmlformats.org/officeDocument/2006/relationships/hyperlink" Target="#Investimento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Compras Mercadorias'!A1"/><Relationship Id="rId2" Type="http://schemas.openxmlformats.org/officeDocument/2006/relationships/hyperlink" Target="#Resultados!A1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Controle de Estoque'!A1"/><Relationship Id="rId2" Type="http://schemas.openxmlformats.org/officeDocument/2006/relationships/hyperlink" Target="#Despesas!A1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Compras Mercadorias'!A1"/><Relationship Id="rId2" Type="http://schemas.openxmlformats.org/officeDocument/2006/relationships/hyperlink" Target="#Resultados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'Compras Mercadorias'!A1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espesas!A1"/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Sem4'!A1"/><Relationship Id="rId3" Type="http://schemas.openxmlformats.org/officeDocument/2006/relationships/chart" Target="../charts/chart3.xml"/><Relationship Id="rId7" Type="http://schemas.openxmlformats.org/officeDocument/2006/relationships/hyperlink" Target="#'Sem1'!A1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hyperlink" Target="#Vendas!B55"/><Relationship Id="rId5" Type="http://schemas.openxmlformats.org/officeDocument/2006/relationships/hyperlink" Target="#Resultados!A1"/><Relationship Id="rId10" Type="http://schemas.openxmlformats.org/officeDocument/2006/relationships/hyperlink" Target="#'Sem2'!A1"/><Relationship Id="rId4" Type="http://schemas.openxmlformats.org/officeDocument/2006/relationships/hyperlink" Target="#Menu!A1"/><Relationship Id="rId9" Type="http://schemas.openxmlformats.org/officeDocument/2006/relationships/hyperlink" Target="#'Sem3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Sem1'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Sem2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'Sem3'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Vendas!A1"/><Relationship Id="rId1" Type="http://schemas.openxmlformats.org/officeDocument/2006/relationships/hyperlink" Target="#Menu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'Sem4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452368</xdr:colOff>
      <xdr:row>30</xdr:row>
      <xdr:rowOff>9524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6D42BF41-A6BF-42B0-9E59-81C164F4F2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243" b="14576"/>
        <a:stretch/>
      </xdr:blipFill>
      <xdr:spPr>
        <a:xfrm>
          <a:off x="0" y="0"/>
          <a:ext cx="12644368" cy="5724524"/>
        </a:xfrm>
        <a:prstGeom prst="rect">
          <a:avLst/>
        </a:prstGeom>
        <a:ln>
          <a:solidFill>
            <a:schemeClr val="accent5"/>
          </a:solidFill>
        </a:ln>
      </xdr:spPr>
    </xdr:pic>
    <xdr:clientData/>
  </xdr:twoCellAnchor>
  <xdr:twoCellAnchor>
    <xdr:from>
      <xdr:col>5</xdr:col>
      <xdr:colOff>361950</xdr:colOff>
      <xdr:row>18</xdr:row>
      <xdr:rowOff>133350</xdr:rowOff>
    </xdr:from>
    <xdr:to>
      <xdr:col>8</xdr:col>
      <xdr:colOff>381000</xdr:colOff>
      <xdr:row>21</xdr:row>
      <xdr:rowOff>28575</xdr:rowOff>
    </xdr:to>
    <xdr:sp macro="" textlink="">
      <xdr:nvSpPr>
        <xdr:cNvPr id="12" name="Retângul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6B7A9ED-7081-44E3-B469-4A9E5C9931DD}"/>
            </a:ext>
          </a:extLst>
        </xdr:cNvPr>
        <xdr:cNvSpPr/>
      </xdr:nvSpPr>
      <xdr:spPr>
        <a:xfrm>
          <a:off x="3409950" y="3562350"/>
          <a:ext cx="1847850" cy="466725"/>
        </a:xfrm>
        <a:prstGeom prst="rect">
          <a:avLst/>
        </a:prstGeom>
        <a:solidFill>
          <a:schemeClr val="bg1"/>
        </a:solidFill>
        <a:ln w="28575">
          <a:solidFill>
            <a:schemeClr val="tx2">
              <a:lumMod val="50000"/>
              <a:lumOff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2">
                  <a:lumMod val="75000"/>
                  <a:lumOff val="25000"/>
                </a:schemeClr>
              </a:solidFill>
            </a:rPr>
            <a:t>Compras</a:t>
          </a:r>
          <a:r>
            <a:rPr lang="pt-BR" sz="1400" b="1" baseline="0">
              <a:solidFill>
                <a:schemeClr val="tx2">
                  <a:lumMod val="75000"/>
                  <a:lumOff val="25000"/>
                </a:schemeClr>
              </a:solidFill>
            </a:rPr>
            <a:t>  Mercadorias</a:t>
          </a:r>
          <a:endParaRPr lang="pt-BR" sz="1400" b="1">
            <a:solidFill>
              <a:schemeClr val="tx2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2</xdr:col>
      <xdr:colOff>142875</xdr:colOff>
      <xdr:row>18</xdr:row>
      <xdr:rowOff>133350</xdr:rowOff>
    </xdr:from>
    <xdr:to>
      <xdr:col>5</xdr:col>
      <xdr:colOff>161925</xdr:colOff>
      <xdr:row>21</xdr:row>
      <xdr:rowOff>28575</xdr:rowOff>
    </xdr:to>
    <xdr:sp macro="" textlink="">
      <xdr:nvSpPr>
        <xdr:cNvPr id="13" name="Retângulo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37E5249-E2BD-4BB3-81BF-20E539646453}"/>
            </a:ext>
          </a:extLst>
        </xdr:cNvPr>
        <xdr:cNvSpPr/>
      </xdr:nvSpPr>
      <xdr:spPr>
        <a:xfrm>
          <a:off x="1362075" y="3562350"/>
          <a:ext cx="1847850" cy="466725"/>
        </a:xfrm>
        <a:prstGeom prst="rect">
          <a:avLst/>
        </a:prstGeom>
        <a:solidFill>
          <a:schemeClr val="bg1"/>
        </a:solidFill>
        <a:ln w="28575">
          <a:solidFill>
            <a:schemeClr val="tx2">
              <a:lumMod val="50000"/>
              <a:lumOff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2">
                  <a:lumMod val="75000"/>
                  <a:lumOff val="25000"/>
                </a:schemeClr>
              </a:solidFill>
            </a:rPr>
            <a:t>Despesas</a:t>
          </a:r>
        </a:p>
      </xdr:txBody>
    </xdr:sp>
    <xdr:clientData/>
  </xdr:twoCellAnchor>
  <xdr:twoCellAnchor>
    <xdr:from>
      <xdr:col>8</xdr:col>
      <xdr:colOff>542925</xdr:colOff>
      <xdr:row>18</xdr:row>
      <xdr:rowOff>123825</xdr:rowOff>
    </xdr:from>
    <xdr:to>
      <xdr:col>11</xdr:col>
      <xdr:colOff>561975</xdr:colOff>
      <xdr:row>21</xdr:row>
      <xdr:rowOff>19050</xdr:rowOff>
    </xdr:to>
    <xdr:sp macro="" textlink="">
      <xdr:nvSpPr>
        <xdr:cNvPr id="14" name="Retângulo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266135-A83A-4B43-B23C-2201B445A889}"/>
            </a:ext>
          </a:extLst>
        </xdr:cNvPr>
        <xdr:cNvSpPr/>
      </xdr:nvSpPr>
      <xdr:spPr>
        <a:xfrm>
          <a:off x="5419725" y="3552825"/>
          <a:ext cx="1847850" cy="466725"/>
        </a:xfrm>
        <a:prstGeom prst="rect">
          <a:avLst/>
        </a:prstGeom>
        <a:solidFill>
          <a:schemeClr val="bg1"/>
        </a:solidFill>
        <a:ln w="28575">
          <a:solidFill>
            <a:schemeClr val="tx2">
              <a:lumMod val="50000"/>
              <a:lumOff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2">
                  <a:lumMod val="75000"/>
                  <a:lumOff val="25000"/>
                </a:schemeClr>
              </a:solidFill>
            </a:rPr>
            <a:t>Investimentos</a:t>
          </a:r>
        </a:p>
      </xdr:txBody>
    </xdr:sp>
    <xdr:clientData/>
  </xdr:twoCellAnchor>
  <xdr:twoCellAnchor>
    <xdr:from>
      <xdr:col>12</xdr:col>
      <xdr:colOff>123825</xdr:colOff>
      <xdr:row>18</xdr:row>
      <xdr:rowOff>123825</xdr:rowOff>
    </xdr:from>
    <xdr:to>
      <xdr:col>15</xdr:col>
      <xdr:colOff>142875</xdr:colOff>
      <xdr:row>21</xdr:row>
      <xdr:rowOff>19050</xdr:rowOff>
    </xdr:to>
    <xdr:sp macro="" textlink="">
      <xdr:nvSpPr>
        <xdr:cNvPr id="15" name="Retângulo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BA5C4E4-D920-4192-9086-36369FC23D1B}"/>
            </a:ext>
          </a:extLst>
        </xdr:cNvPr>
        <xdr:cNvSpPr/>
      </xdr:nvSpPr>
      <xdr:spPr>
        <a:xfrm>
          <a:off x="7439025" y="3552825"/>
          <a:ext cx="1847850" cy="466725"/>
        </a:xfrm>
        <a:prstGeom prst="rect">
          <a:avLst/>
        </a:prstGeom>
        <a:solidFill>
          <a:schemeClr val="bg1"/>
        </a:solidFill>
        <a:ln w="28575">
          <a:solidFill>
            <a:schemeClr val="tx2">
              <a:lumMod val="50000"/>
              <a:lumOff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2">
                  <a:lumMod val="75000"/>
                  <a:lumOff val="25000"/>
                </a:schemeClr>
              </a:solidFill>
            </a:rPr>
            <a:t>Vendas</a:t>
          </a:r>
        </a:p>
      </xdr:txBody>
    </xdr:sp>
    <xdr:clientData/>
  </xdr:twoCellAnchor>
  <xdr:twoCellAnchor>
    <xdr:from>
      <xdr:col>15</xdr:col>
      <xdr:colOff>323850</xdr:colOff>
      <xdr:row>18</xdr:row>
      <xdr:rowOff>114300</xdr:rowOff>
    </xdr:from>
    <xdr:to>
      <xdr:col>18</xdr:col>
      <xdr:colOff>342900</xdr:colOff>
      <xdr:row>21</xdr:row>
      <xdr:rowOff>9525</xdr:rowOff>
    </xdr:to>
    <xdr:sp macro="" textlink="">
      <xdr:nvSpPr>
        <xdr:cNvPr id="16" name="Retângulo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C0442EC-2809-4C5B-93A7-E6BBEAF4AD1A}"/>
            </a:ext>
          </a:extLst>
        </xdr:cNvPr>
        <xdr:cNvSpPr/>
      </xdr:nvSpPr>
      <xdr:spPr>
        <a:xfrm>
          <a:off x="9467850" y="3543300"/>
          <a:ext cx="1847850" cy="466725"/>
        </a:xfrm>
        <a:prstGeom prst="rect">
          <a:avLst/>
        </a:prstGeom>
        <a:solidFill>
          <a:schemeClr val="bg1"/>
        </a:solidFill>
        <a:ln w="28575">
          <a:solidFill>
            <a:schemeClr val="tx2">
              <a:lumMod val="50000"/>
              <a:lumOff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2">
                  <a:lumMod val="75000"/>
                  <a:lumOff val="25000"/>
                </a:schemeClr>
              </a:solidFill>
            </a:rPr>
            <a:t>Resultados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962026</xdr:colOff>
      <xdr:row>1</xdr:row>
      <xdr:rowOff>47625</xdr:rowOff>
    </xdr:from>
    <xdr:to>
      <xdr:col>7</xdr:col>
      <xdr:colOff>619126</xdr:colOff>
      <xdr:row>1</xdr:row>
      <xdr:rowOff>323850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094EF19-68DA-E659-BA7A-E1B379BD350C}"/>
            </a:ext>
          </a:extLst>
        </xdr:cNvPr>
        <xdr:cNvSpPr/>
      </xdr:nvSpPr>
      <xdr:spPr>
        <a:xfrm>
          <a:off x="11534776" y="85725"/>
          <a:ext cx="91440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Menu</a:t>
          </a:r>
        </a:p>
      </xdr:txBody>
    </xdr:sp>
    <xdr:clientData/>
  </xdr:twoCellAnchor>
  <xdr:twoCellAnchor>
    <xdr:from>
      <xdr:col>5</xdr:col>
      <xdr:colOff>1743075</xdr:colOff>
      <xdr:row>1</xdr:row>
      <xdr:rowOff>47625</xdr:rowOff>
    </xdr:from>
    <xdr:to>
      <xdr:col>6</xdr:col>
      <xdr:colOff>885825</xdr:colOff>
      <xdr:row>1</xdr:row>
      <xdr:rowOff>323850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4BCCF8-1F49-445E-A78C-5B3743DD71C7}"/>
            </a:ext>
          </a:extLst>
        </xdr:cNvPr>
        <xdr:cNvSpPr/>
      </xdr:nvSpPr>
      <xdr:spPr>
        <a:xfrm>
          <a:off x="10553700" y="85725"/>
          <a:ext cx="90487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Resultados</a:t>
          </a:r>
        </a:p>
      </xdr:txBody>
    </xdr:sp>
    <xdr:clientData/>
  </xdr:twoCellAnchor>
  <xdr:twoCellAnchor>
    <xdr:from>
      <xdr:col>5</xdr:col>
      <xdr:colOff>161926</xdr:colOff>
      <xdr:row>1</xdr:row>
      <xdr:rowOff>47625</xdr:rowOff>
    </xdr:from>
    <xdr:to>
      <xdr:col>5</xdr:col>
      <xdr:colOff>1676400</xdr:colOff>
      <xdr:row>1</xdr:row>
      <xdr:rowOff>323850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FA14169-96B1-49EA-B758-BCD08B5ECF00}"/>
            </a:ext>
          </a:extLst>
        </xdr:cNvPr>
        <xdr:cNvSpPr/>
      </xdr:nvSpPr>
      <xdr:spPr>
        <a:xfrm>
          <a:off x="8972551" y="85725"/>
          <a:ext cx="1514474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Compra</a:t>
          </a:r>
          <a:r>
            <a:rPr lang="pt-BR" sz="1200" baseline="0"/>
            <a:t> Mercadorias</a:t>
          </a:r>
          <a:endParaRPr lang="pt-BR" sz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266699</xdr:colOff>
      <xdr:row>1</xdr:row>
      <xdr:rowOff>38101</xdr:rowOff>
    </xdr:from>
    <xdr:to>
      <xdr:col>13</xdr:col>
      <xdr:colOff>28574</xdr:colOff>
      <xdr:row>1</xdr:row>
      <xdr:rowOff>304801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B3BF836-0D62-4A38-9168-F01E3E11BBB1}"/>
            </a:ext>
          </a:extLst>
        </xdr:cNvPr>
        <xdr:cNvSpPr/>
      </xdr:nvSpPr>
      <xdr:spPr>
        <a:xfrm>
          <a:off x="11429999" y="228601"/>
          <a:ext cx="981075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Menu</a:t>
          </a:r>
        </a:p>
      </xdr:txBody>
    </xdr:sp>
    <xdr:clientData/>
  </xdr:twoCellAnchor>
  <xdr:twoCellAnchor>
    <xdr:from>
      <xdr:col>9</xdr:col>
      <xdr:colOff>361949</xdr:colOff>
      <xdr:row>1</xdr:row>
      <xdr:rowOff>38101</xdr:rowOff>
    </xdr:from>
    <xdr:to>
      <xdr:col>11</xdr:col>
      <xdr:colOff>200024</xdr:colOff>
      <xdr:row>1</xdr:row>
      <xdr:rowOff>304801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E6F6B2F-7A14-4E42-910B-D6FC4A88DC22}"/>
            </a:ext>
          </a:extLst>
        </xdr:cNvPr>
        <xdr:cNvSpPr/>
      </xdr:nvSpPr>
      <xdr:spPr>
        <a:xfrm>
          <a:off x="10306049" y="228601"/>
          <a:ext cx="1057275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Despesas</a:t>
          </a:r>
        </a:p>
      </xdr:txBody>
    </xdr:sp>
    <xdr:clientData/>
  </xdr:twoCellAnchor>
  <xdr:twoCellAnchor>
    <xdr:from>
      <xdr:col>7</xdr:col>
      <xdr:colOff>838200</xdr:colOff>
      <xdr:row>1</xdr:row>
      <xdr:rowOff>38100</xdr:rowOff>
    </xdr:from>
    <xdr:to>
      <xdr:col>9</xdr:col>
      <xdr:colOff>276225</xdr:colOff>
      <xdr:row>1</xdr:row>
      <xdr:rowOff>314325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DF9B2F8-44B5-40F2-A75C-D79BA50F8903}"/>
            </a:ext>
          </a:extLst>
        </xdr:cNvPr>
        <xdr:cNvSpPr/>
      </xdr:nvSpPr>
      <xdr:spPr>
        <a:xfrm>
          <a:off x="8562975" y="228600"/>
          <a:ext cx="1657350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Controle</a:t>
          </a:r>
          <a:r>
            <a:rPr lang="pt-BR" sz="1200" baseline="0"/>
            <a:t> de Estoque</a:t>
          </a:r>
          <a:endParaRPr lang="pt-BR" sz="1200"/>
        </a:p>
      </xdr:txBody>
    </xdr:sp>
    <xdr:clientData/>
  </xdr:twoCellAnchor>
  <xdr:twoCellAnchor>
    <xdr:from>
      <xdr:col>9</xdr:col>
      <xdr:colOff>133350</xdr:colOff>
      <xdr:row>4</xdr:row>
      <xdr:rowOff>0</xdr:rowOff>
    </xdr:from>
    <xdr:to>
      <xdr:col>10</xdr:col>
      <xdr:colOff>600075</xdr:colOff>
      <xdr:row>5</xdr:row>
      <xdr:rowOff>142875</xdr:rowOff>
    </xdr:to>
    <xdr:sp macro="[0]!Inserir_Compra" textlink="">
      <xdr:nvSpPr>
        <xdr:cNvPr id="5" name="Retângulo 4">
          <a:extLst>
            <a:ext uri="{FF2B5EF4-FFF2-40B4-BE49-F238E27FC236}">
              <a16:creationId xmlns:a16="http://schemas.microsoft.com/office/drawing/2014/main" id="{415B442F-BE70-61FF-1B18-168CC353B23C}"/>
            </a:ext>
          </a:extLst>
        </xdr:cNvPr>
        <xdr:cNvSpPr/>
      </xdr:nvSpPr>
      <xdr:spPr>
        <a:xfrm>
          <a:off x="10077450" y="933450"/>
          <a:ext cx="1076325" cy="333375"/>
        </a:xfrm>
        <a:prstGeom prst="rect">
          <a:avLst/>
        </a:prstGeom>
        <a:solidFill>
          <a:schemeClr val="tx2">
            <a:lumMod val="50000"/>
            <a:lumOff val="5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Nova</a:t>
          </a:r>
          <a:r>
            <a:rPr lang="pt-BR" sz="1200" b="1" baseline="0">
              <a:solidFill>
                <a:schemeClr val="bg1"/>
              </a:solidFill>
            </a:rPr>
            <a:t> Compra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285749</xdr:colOff>
      <xdr:row>1</xdr:row>
      <xdr:rowOff>28575</xdr:rowOff>
    </xdr:from>
    <xdr:to>
      <xdr:col>7</xdr:col>
      <xdr:colOff>47624</xdr:colOff>
      <xdr:row>1</xdr:row>
      <xdr:rowOff>323850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5741673-50EA-4679-B539-7A00938871A5}"/>
            </a:ext>
          </a:extLst>
        </xdr:cNvPr>
        <xdr:cNvSpPr/>
      </xdr:nvSpPr>
      <xdr:spPr>
        <a:xfrm>
          <a:off x="11506199" y="219075"/>
          <a:ext cx="981075" cy="29527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MENU</a:t>
          </a:r>
        </a:p>
      </xdr:txBody>
    </xdr:sp>
    <xdr:clientData/>
  </xdr:twoCellAnchor>
  <xdr:twoCellAnchor>
    <xdr:from>
      <xdr:col>4</xdr:col>
      <xdr:colOff>466724</xdr:colOff>
      <xdr:row>1</xdr:row>
      <xdr:rowOff>28575</xdr:rowOff>
    </xdr:from>
    <xdr:to>
      <xdr:col>5</xdr:col>
      <xdr:colOff>161924</xdr:colOff>
      <xdr:row>1</xdr:row>
      <xdr:rowOff>323850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C21BC3F-270E-466E-A157-B154857B999C}"/>
            </a:ext>
          </a:extLst>
        </xdr:cNvPr>
        <xdr:cNvSpPr/>
      </xdr:nvSpPr>
      <xdr:spPr>
        <a:xfrm>
          <a:off x="10325099" y="219075"/>
          <a:ext cx="1057275" cy="29527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RESULTADOS</a:t>
          </a:r>
        </a:p>
      </xdr:txBody>
    </xdr:sp>
    <xdr:clientData/>
  </xdr:twoCellAnchor>
  <xdr:twoCellAnchor>
    <xdr:from>
      <xdr:col>3</xdr:col>
      <xdr:colOff>2847975</xdr:colOff>
      <xdr:row>1</xdr:row>
      <xdr:rowOff>28575</xdr:rowOff>
    </xdr:from>
    <xdr:to>
      <xdr:col>4</xdr:col>
      <xdr:colOff>352425</xdr:colOff>
      <xdr:row>1</xdr:row>
      <xdr:rowOff>333375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53D244-A8BD-4845-9727-CC994292D663}"/>
            </a:ext>
          </a:extLst>
        </xdr:cNvPr>
        <xdr:cNvSpPr/>
      </xdr:nvSpPr>
      <xdr:spPr>
        <a:xfrm>
          <a:off x="8382000" y="219075"/>
          <a:ext cx="1828800" cy="3048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COMPRA</a:t>
          </a:r>
          <a:r>
            <a:rPr lang="pt-BR" sz="1200" baseline="0"/>
            <a:t> MERCADORIAS</a:t>
          </a:r>
          <a:endParaRPr lang="pt-BR" sz="12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361950</xdr:colOff>
      <xdr:row>1</xdr:row>
      <xdr:rowOff>47625</xdr:rowOff>
    </xdr:from>
    <xdr:to>
      <xdr:col>12</xdr:col>
      <xdr:colOff>123825</xdr:colOff>
      <xdr:row>1</xdr:row>
      <xdr:rowOff>314325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044EFF-4B0B-4A3A-A343-9F5D1E19AE3C}"/>
            </a:ext>
          </a:extLst>
        </xdr:cNvPr>
        <xdr:cNvSpPr/>
      </xdr:nvSpPr>
      <xdr:spPr>
        <a:xfrm>
          <a:off x="11515725" y="238125"/>
          <a:ext cx="981075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Menu</a:t>
          </a:r>
        </a:p>
      </xdr:txBody>
    </xdr:sp>
    <xdr:clientData/>
  </xdr:twoCellAnchor>
  <xdr:twoCellAnchor>
    <xdr:from>
      <xdr:col>6</xdr:col>
      <xdr:colOff>723900</xdr:colOff>
      <xdr:row>1</xdr:row>
      <xdr:rowOff>47625</xdr:rowOff>
    </xdr:from>
    <xdr:to>
      <xdr:col>8</xdr:col>
      <xdr:colOff>485775</xdr:colOff>
      <xdr:row>1</xdr:row>
      <xdr:rowOff>323850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56A11FA-FA52-4A2E-9628-E3C7B7B334C5}"/>
            </a:ext>
          </a:extLst>
        </xdr:cNvPr>
        <xdr:cNvSpPr/>
      </xdr:nvSpPr>
      <xdr:spPr>
        <a:xfrm>
          <a:off x="8696325" y="238125"/>
          <a:ext cx="1724025" cy="27622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Compra</a:t>
          </a:r>
          <a:r>
            <a:rPr lang="pt-BR" sz="1200" baseline="0"/>
            <a:t> Mercadorias</a:t>
          </a:r>
          <a:endParaRPr lang="pt-BR" sz="1200"/>
        </a:p>
      </xdr:txBody>
    </xdr:sp>
    <xdr:clientData/>
  </xdr:twoCellAnchor>
  <xdr:twoCellAnchor>
    <xdr:from>
      <xdr:col>8</xdr:col>
      <xdr:colOff>542925</xdr:colOff>
      <xdr:row>1</xdr:row>
      <xdr:rowOff>47625</xdr:rowOff>
    </xdr:from>
    <xdr:to>
      <xdr:col>10</xdr:col>
      <xdr:colOff>304800</xdr:colOff>
      <xdr:row>1</xdr:row>
      <xdr:rowOff>314325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4518DF7-713A-47FD-BFFB-3F6278C09BEB}"/>
            </a:ext>
          </a:extLst>
        </xdr:cNvPr>
        <xdr:cNvSpPr/>
      </xdr:nvSpPr>
      <xdr:spPr>
        <a:xfrm>
          <a:off x="10477500" y="238125"/>
          <a:ext cx="981075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Vendas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390525</xdr:colOff>
      <xdr:row>1</xdr:row>
      <xdr:rowOff>47625</xdr:rowOff>
    </xdr:from>
    <xdr:to>
      <xdr:col>10</xdr:col>
      <xdr:colOff>152400</xdr:colOff>
      <xdr:row>1</xdr:row>
      <xdr:rowOff>314325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D9504B-B0C1-4571-B1A4-FDA2F0976BBE}"/>
            </a:ext>
          </a:extLst>
        </xdr:cNvPr>
        <xdr:cNvSpPr/>
      </xdr:nvSpPr>
      <xdr:spPr>
        <a:xfrm>
          <a:off x="11487150" y="238125"/>
          <a:ext cx="981075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Menu</a:t>
          </a:r>
        </a:p>
      </xdr:txBody>
    </xdr:sp>
    <xdr:clientData/>
  </xdr:twoCellAnchor>
  <xdr:twoCellAnchor>
    <xdr:from>
      <xdr:col>6</xdr:col>
      <xdr:colOff>571500</xdr:colOff>
      <xdr:row>1</xdr:row>
      <xdr:rowOff>47625</xdr:rowOff>
    </xdr:from>
    <xdr:to>
      <xdr:col>8</xdr:col>
      <xdr:colOff>333375</xdr:colOff>
      <xdr:row>1</xdr:row>
      <xdr:rowOff>314325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77ACB5C-C748-4E13-B4EF-D831050AA135}"/>
            </a:ext>
          </a:extLst>
        </xdr:cNvPr>
        <xdr:cNvSpPr/>
      </xdr:nvSpPr>
      <xdr:spPr>
        <a:xfrm>
          <a:off x="10448925" y="238125"/>
          <a:ext cx="981075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Vendas</a:t>
          </a:r>
        </a:p>
      </xdr:txBody>
    </xdr:sp>
    <xdr:clientData/>
  </xdr:twoCellAnchor>
  <xdr:twoCellAnchor>
    <xdr:from>
      <xdr:col>5</xdr:col>
      <xdr:colOff>142875</xdr:colOff>
      <xdr:row>1</xdr:row>
      <xdr:rowOff>47625</xdr:rowOff>
    </xdr:from>
    <xdr:to>
      <xdr:col>6</xdr:col>
      <xdr:colOff>514350</xdr:colOff>
      <xdr:row>1</xdr:row>
      <xdr:rowOff>314325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BD13848-BEB7-4D07-94E3-306C7092F7DF}"/>
            </a:ext>
          </a:extLst>
        </xdr:cNvPr>
        <xdr:cNvSpPr/>
      </xdr:nvSpPr>
      <xdr:spPr>
        <a:xfrm>
          <a:off x="9410700" y="238125"/>
          <a:ext cx="981075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Despesas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238125</xdr:colOff>
      <xdr:row>5</xdr:row>
      <xdr:rowOff>4762</xdr:rowOff>
    </xdr:from>
    <xdr:to>
      <xdr:col>10</xdr:col>
      <xdr:colOff>542925</xdr:colOff>
      <xdr:row>17</xdr:row>
      <xdr:rowOff>176212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F00A439-8C31-5B39-B256-11E2459B72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257175</xdr:colOff>
      <xdr:row>23</xdr:row>
      <xdr:rowOff>52387</xdr:rowOff>
    </xdr:from>
    <xdr:to>
      <xdr:col>10</xdr:col>
      <xdr:colOff>542925</xdr:colOff>
      <xdr:row>34</xdr:row>
      <xdr:rowOff>123825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E1C8D1A8-CEA5-2D85-E8DA-F4A7A86E82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847725</xdr:colOff>
      <xdr:row>39</xdr:row>
      <xdr:rowOff>52387</xdr:rowOff>
    </xdr:from>
    <xdr:to>
      <xdr:col>10</xdr:col>
      <xdr:colOff>76200</xdr:colOff>
      <xdr:row>51</xdr:row>
      <xdr:rowOff>161925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7C6CBB6-CD9B-1817-597B-670B37A043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523874</xdr:colOff>
      <xdr:row>1</xdr:row>
      <xdr:rowOff>28575</xdr:rowOff>
    </xdr:from>
    <xdr:to>
      <xdr:col>11</xdr:col>
      <xdr:colOff>590549</xdr:colOff>
      <xdr:row>1</xdr:row>
      <xdr:rowOff>323850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10B7D14-8BC6-46BE-80B9-9554396212EB}"/>
            </a:ext>
          </a:extLst>
        </xdr:cNvPr>
        <xdr:cNvSpPr/>
      </xdr:nvSpPr>
      <xdr:spPr>
        <a:xfrm>
          <a:off x="12106274" y="219075"/>
          <a:ext cx="981075" cy="29527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Menu</a:t>
          </a:r>
        </a:p>
      </xdr:txBody>
    </xdr:sp>
    <xdr:clientData/>
  </xdr:twoCellAnchor>
  <xdr:twoCellAnchor>
    <xdr:from>
      <xdr:col>9</xdr:col>
      <xdr:colOff>609599</xdr:colOff>
      <xdr:row>1</xdr:row>
      <xdr:rowOff>28575</xdr:rowOff>
    </xdr:from>
    <xdr:to>
      <xdr:col>10</xdr:col>
      <xdr:colOff>409574</xdr:colOff>
      <xdr:row>1</xdr:row>
      <xdr:rowOff>323850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22630C7-4F8D-4FA5-B130-8735E1F288BA}"/>
            </a:ext>
          </a:extLst>
        </xdr:cNvPr>
        <xdr:cNvSpPr/>
      </xdr:nvSpPr>
      <xdr:spPr>
        <a:xfrm>
          <a:off x="10934699" y="219075"/>
          <a:ext cx="1057275" cy="295275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Resultados</a:t>
          </a:r>
        </a:p>
      </xdr:txBody>
    </xdr:sp>
    <xdr:clientData/>
  </xdr:twoCellAnchor>
  <xdr:twoCellAnchor>
    <xdr:from>
      <xdr:col>8</xdr:col>
      <xdr:colOff>257174</xdr:colOff>
      <xdr:row>1</xdr:row>
      <xdr:rowOff>28575</xdr:rowOff>
    </xdr:from>
    <xdr:to>
      <xdr:col>9</xdr:col>
      <xdr:colOff>495299</xdr:colOff>
      <xdr:row>1</xdr:row>
      <xdr:rowOff>333375</xdr:rowOff>
    </xdr:to>
    <xdr:sp macro="" textlink="">
      <xdr:nvSpPr>
        <xdr:cNvPr id="7" name="Retângul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B3FDF80-3396-417F-B569-AF4F608C1B31}"/>
            </a:ext>
          </a:extLst>
        </xdr:cNvPr>
        <xdr:cNvSpPr/>
      </xdr:nvSpPr>
      <xdr:spPr>
        <a:xfrm>
          <a:off x="9572624" y="219075"/>
          <a:ext cx="1247775" cy="3048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Ir</a:t>
          </a:r>
          <a:r>
            <a:rPr lang="pt-BR" sz="1200" baseline="0"/>
            <a:t> para semanas</a:t>
          </a:r>
          <a:endParaRPr lang="pt-BR" sz="1200"/>
        </a:p>
      </xdr:txBody>
    </xdr:sp>
    <xdr:clientData/>
  </xdr:twoCellAnchor>
  <xdr:twoCellAnchor>
    <xdr:from>
      <xdr:col>2</xdr:col>
      <xdr:colOff>2114550</xdr:colOff>
      <xdr:row>53</xdr:row>
      <xdr:rowOff>76200</xdr:rowOff>
    </xdr:from>
    <xdr:to>
      <xdr:col>3</xdr:col>
      <xdr:colOff>914400</xdr:colOff>
      <xdr:row>54</xdr:row>
      <xdr:rowOff>180975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CDF7AEF-6A9F-4A50-8F39-F58EFBFF0AF0}"/>
            </a:ext>
          </a:extLst>
        </xdr:cNvPr>
        <xdr:cNvSpPr/>
      </xdr:nvSpPr>
      <xdr:spPr>
        <a:xfrm>
          <a:off x="3619500" y="11220450"/>
          <a:ext cx="1057275" cy="29527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accent6"/>
              </a:solidFill>
            </a:rPr>
            <a:t>Semana</a:t>
          </a:r>
          <a:r>
            <a:rPr lang="pt-BR" sz="1200" baseline="0">
              <a:solidFill>
                <a:schemeClr val="accent6"/>
              </a:solidFill>
            </a:rPr>
            <a:t> 1</a:t>
          </a:r>
          <a:endParaRPr lang="pt-BR" sz="1200">
            <a:solidFill>
              <a:schemeClr val="accent6"/>
            </a:solidFill>
          </a:endParaRPr>
        </a:p>
      </xdr:txBody>
    </xdr:sp>
    <xdr:clientData/>
  </xdr:twoCellAnchor>
  <xdr:twoCellAnchor>
    <xdr:from>
      <xdr:col>5</xdr:col>
      <xdr:colOff>923925</xdr:colOff>
      <xdr:row>53</xdr:row>
      <xdr:rowOff>85725</xdr:rowOff>
    </xdr:from>
    <xdr:to>
      <xdr:col>6</xdr:col>
      <xdr:colOff>971550</xdr:colOff>
      <xdr:row>55</xdr:row>
      <xdr:rowOff>0</xdr:rowOff>
    </xdr:to>
    <xdr:sp macro="" textlink="">
      <xdr:nvSpPr>
        <xdr:cNvPr id="14" name="Retângulo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E88F469-8707-460F-A04C-190A3CA382F1}"/>
            </a:ext>
          </a:extLst>
        </xdr:cNvPr>
        <xdr:cNvSpPr/>
      </xdr:nvSpPr>
      <xdr:spPr>
        <a:xfrm>
          <a:off x="7210425" y="11229975"/>
          <a:ext cx="1057275" cy="29527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accent6"/>
              </a:solidFill>
            </a:rPr>
            <a:t>Semana</a:t>
          </a:r>
          <a:r>
            <a:rPr lang="pt-BR" sz="1200" baseline="0">
              <a:solidFill>
                <a:schemeClr val="accent6"/>
              </a:solidFill>
            </a:rPr>
            <a:t> 4</a:t>
          </a:r>
          <a:endParaRPr lang="pt-BR" sz="1200">
            <a:solidFill>
              <a:schemeClr val="accent6"/>
            </a:solidFill>
          </a:endParaRPr>
        </a:p>
      </xdr:txBody>
    </xdr:sp>
    <xdr:clientData/>
  </xdr:twoCellAnchor>
  <xdr:twoCellAnchor>
    <xdr:from>
      <xdr:col>4</xdr:col>
      <xdr:colOff>733425</xdr:colOff>
      <xdr:row>53</xdr:row>
      <xdr:rowOff>85725</xdr:rowOff>
    </xdr:from>
    <xdr:to>
      <xdr:col>5</xdr:col>
      <xdr:colOff>781050</xdr:colOff>
      <xdr:row>55</xdr:row>
      <xdr:rowOff>0</xdr:rowOff>
    </xdr:to>
    <xdr:sp macro="" textlink="">
      <xdr:nvSpPr>
        <xdr:cNvPr id="15" name="Retângulo 1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E3E9B4B-C9F7-4771-8B10-C5733B0B10A5}"/>
            </a:ext>
          </a:extLst>
        </xdr:cNvPr>
        <xdr:cNvSpPr/>
      </xdr:nvSpPr>
      <xdr:spPr>
        <a:xfrm>
          <a:off x="6010275" y="11229975"/>
          <a:ext cx="1057275" cy="29527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accent6"/>
              </a:solidFill>
            </a:rPr>
            <a:t>Semana</a:t>
          </a:r>
          <a:r>
            <a:rPr lang="pt-BR" sz="1200" baseline="0">
              <a:solidFill>
                <a:schemeClr val="accent6"/>
              </a:solidFill>
            </a:rPr>
            <a:t> 3</a:t>
          </a:r>
          <a:endParaRPr lang="pt-BR" sz="1200">
            <a:solidFill>
              <a:schemeClr val="accent6"/>
            </a:solidFill>
          </a:endParaRPr>
        </a:p>
      </xdr:txBody>
    </xdr:sp>
    <xdr:clientData/>
  </xdr:twoCellAnchor>
  <xdr:twoCellAnchor>
    <xdr:from>
      <xdr:col>3</xdr:col>
      <xdr:colOff>1066800</xdr:colOff>
      <xdr:row>53</xdr:row>
      <xdr:rowOff>85725</xdr:rowOff>
    </xdr:from>
    <xdr:to>
      <xdr:col>4</xdr:col>
      <xdr:colOff>609600</xdr:colOff>
      <xdr:row>55</xdr:row>
      <xdr:rowOff>0</xdr:rowOff>
    </xdr:to>
    <xdr:sp macro="" textlink="">
      <xdr:nvSpPr>
        <xdr:cNvPr id="16" name="Retângulo 1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1A7B2ECC-4C0F-4982-B0F1-E7EFE5D09EF4}"/>
            </a:ext>
          </a:extLst>
        </xdr:cNvPr>
        <xdr:cNvSpPr/>
      </xdr:nvSpPr>
      <xdr:spPr>
        <a:xfrm>
          <a:off x="4829175" y="11229975"/>
          <a:ext cx="1057275" cy="29527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accent6"/>
              </a:solidFill>
            </a:rPr>
            <a:t>Semana</a:t>
          </a:r>
          <a:r>
            <a:rPr lang="pt-BR" sz="1200" baseline="0">
              <a:solidFill>
                <a:schemeClr val="accent6"/>
              </a:solidFill>
            </a:rPr>
            <a:t> 2</a:t>
          </a:r>
          <a:endParaRPr lang="pt-BR" sz="1200">
            <a:solidFill>
              <a:schemeClr val="accent6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2</xdr:row>
      <xdr:rowOff>180976</xdr:rowOff>
    </xdr:from>
    <xdr:to>
      <xdr:col>0</xdr:col>
      <xdr:colOff>1323975</xdr:colOff>
      <xdr:row>4</xdr:row>
      <xdr:rowOff>161926</xdr:rowOff>
    </xdr:to>
    <xdr:sp macro="[0]!Excluir_Registro" textlink="">
      <xdr:nvSpPr>
        <xdr:cNvPr id="3" name="Retângulo 2">
          <a:extLst>
            <a:ext uri="{FF2B5EF4-FFF2-40B4-BE49-F238E27FC236}">
              <a16:creationId xmlns:a16="http://schemas.microsoft.com/office/drawing/2014/main" id="{7A334050-A128-C3EF-83BB-DBC7737A5D4E}"/>
            </a:ext>
          </a:extLst>
        </xdr:cNvPr>
        <xdr:cNvSpPr/>
      </xdr:nvSpPr>
      <xdr:spPr>
        <a:xfrm>
          <a:off x="133350" y="723901"/>
          <a:ext cx="1190625" cy="36195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Excluir Registro</a:t>
          </a:r>
        </a:p>
      </xdr:txBody>
    </xdr:sp>
    <xdr:clientData/>
  </xdr:twoCellAnchor>
  <xdr:twoCellAnchor>
    <xdr:from>
      <xdr:col>0</xdr:col>
      <xdr:colOff>123825</xdr:colOff>
      <xdr:row>5</xdr:row>
      <xdr:rowOff>47627</xdr:rowOff>
    </xdr:from>
    <xdr:to>
      <xdr:col>0</xdr:col>
      <xdr:colOff>1314450</xdr:colOff>
      <xdr:row>7</xdr:row>
      <xdr:rowOff>19050</xdr:rowOff>
    </xdr:to>
    <xdr:sp macro="[0]!Nova_Venda" textlink="">
      <xdr:nvSpPr>
        <xdr:cNvPr id="4" name="Retângulo 3">
          <a:extLst>
            <a:ext uri="{FF2B5EF4-FFF2-40B4-BE49-F238E27FC236}">
              <a16:creationId xmlns:a16="http://schemas.microsoft.com/office/drawing/2014/main" id="{EE0C36DF-EDE6-4EC0-AA7E-478149DA0A8A}"/>
            </a:ext>
          </a:extLst>
        </xdr:cNvPr>
        <xdr:cNvSpPr/>
      </xdr:nvSpPr>
      <xdr:spPr>
        <a:xfrm>
          <a:off x="123825" y="1162052"/>
          <a:ext cx="1190625" cy="352423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Nova</a:t>
          </a:r>
          <a:r>
            <a:rPr lang="pt-BR" sz="1200" b="1" baseline="0">
              <a:solidFill>
                <a:schemeClr val="bg1"/>
              </a:solidFill>
            </a:rPr>
            <a:t> Venda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123825</xdr:colOff>
      <xdr:row>7</xdr:row>
      <xdr:rowOff>95252</xdr:rowOff>
    </xdr:from>
    <xdr:to>
      <xdr:col>0</xdr:col>
      <xdr:colOff>1314450</xdr:colOff>
      <xdr:row>9</xdr:row>
      <xdr:rowOff>57150</xdr:rowOff>
    </xdr:to>
    <xdr:sp macro="[0]!Inserir_Produto" textlink="">
      <xdr:nvSpPr>
        <xdr:cNvPr id="2" name="Retângulo 1">
          <a:extLst>
            <a:ext uri="{FF2B5EF4-FFF2-40B4-BE49-F238E27FC236}">
              <a16:creationId xmlns:a16="http://schemas.microsoft.com/office/drawing/2014/main" id="{31B73A0B-0126-45B8-8301-AA3013ED7EF0}"/>
            </a:ext>
          </a:extLst>
        </xdr:cNvPr>
        <xdr:cNvSpPr/>
      </xdr:nvSpPr>
      <xdr:spPr>
        <a:xfrm>
          <a:off x="123825" y="1590677"/>
          <a:ext cx="1190625" cy="342898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Inserir Produto</a:t>
          </a:r>
        </a:p>
      </xdr:txBody>
    </xdr:sp>
    <xdr:clientData/>
  </xdr:twoCellAnchor>
  <xdr:twoCellAnchor>
    <xdr:from>
      <xdr:col>12</xdr:col>
      <xdr:colOff>295275</xdr:colOff>
      <xdr:row>1</xdr:row>
      <xdr:rowOff>57150</xdr:rowOff>
    </xdr:from>
    <xdr:to>
      <xdr:col>13</xdr:col>
      <xdr:colOff>9525</xdr:colOff>
      <xdr:row>1</xdr:row>
      <xdr:rowOff>323850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3425438-6DEB-4CBB-84AF-7E6F642DED6C}"/>
            </a:ext>
          </a:extLst>
        </xdr:cNvPr>
        <xdr:cNvSpPr/>
      </xdr:nvSpPr>
      <xdr:spPr>
        <a:xfrm>
          <a:off x="12058650" y="247650"/>
          <a:ext cx="981075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Menu</a:t>
          </a:r>
        </a:p>
      </xdr:txBody>
    </xdr:sp>
    <xdr:clientData/>
  </xdr:twoCellAnchor>
  <xdr:twoCellAnchor>
    <xdr:from>
      <xdr:col>11</xdr:col>
      <xdr:colOff>228600</xdr:colOff>
      <xdr:row>1</xdr:row>
      <xdr:rowOff>57150</xdr:rowOff>
    </xdr:from>
    <xdr:to>
      <xdr:col>12</xdr:col>
      <xdr:colOff>238125</xdr:colOff>
      <xdr:row>1</xdr:row>
      <xdr:rowOff>323850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A5403B9-78A3-4B63-98D8-DB3091BE0AB5}"/>
            </a:ext>
          </a:extLst>
        </xdr:cNvPr>
        <xdr:cNvSpPr/>
      </xdr:nvSpPr>
      <xdr:spPr>
        <a:xfrm>
          <a:off x="11020425" y="247650"/>
          <a:ext cx="981075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Vendas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0</xdr:row>
      <xdr:rowOff>123825</xdr:rowOff>
    </xdr:from>
    <xdr:to>
      <xdr:col>6</xdr:col>
      <xdr:colOff>1028700</xdr:colOff>
      <xdr:row>2</xdr:row>
      <xdr:rowOff>104775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4882DC7-06DF-4436-B00D-C0DA3CB7B060}"/>
            </a:ext>
          </a:extLst>
        </xdr:cNvPr>
        <xdr:cNvSpPr/>
      </xdr:nvSpPr>
      <xdr:spPr>
        <a:xfrm>
          <a:off x="5372100" y="123825"/>
          <a:ext cx="1019175" cy="361950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accent6"/>
              </a:solidFill>
            </a:rPr>
            <a:t>Semana</a:t>
          </a:r>
          <a:r>
            <a:rPr lang="pt-BR" sz="1200" baseline="0">
              <a:solidFill>
                <a:schemeClr val="accent6"/>
              </a:solidFill>
            </a:rPr>
            <a:t> 1</a:t>
          </a:r>
          <a:endParaRPr lang="pt-BR" sz="1200">
            <a:solidFill>
              <a:schemeClr val="accent6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2</xdr:row>
      <xdr:rowOff>180975</xdr:rowOff>
    </xdr:from>
    <xdr:to>
      <xdr:col>0</xdr:col>
      <xdr:colOff>1323975</xdr:colOff>
      <xdr:row>4</xdr:row>
      <xdr:rowOff>161925</xdr:rowOff>
    </xdr:to>
    <xdr:sp macro="[0]!Excluir_Registro" textlink="">
      <xdr:nvSpPr>
        <xdr:cNvPr id="2" name="Retângulo 1">
          <a:extLst>
            <a:ext uri="{FF2B5EF4-FFF2-40B4-BE49-F238E27FC236}">
              <a16:creationId xmlns:a16="http://schemas.microsoft.com/office/drawing/2014/main" id="{AF197FB3-80C0-450E-ACAD-1ED772D72C02}"/>
            </a:ext>
          </a:extLst>
        </xdr:cNvPr>
        <xdr:cNvSpPr/>
      </xdr:nvSpPr>
      <xdr:spPr>
        <a:xfrm>
          <a:off x="133350" y="638175"/>
          <a:ext cx="1190625" cy="36195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Excluir Registro</a:t>
          </a:r>
        </a:p>
      </xdr:txBody>
    </xdr:sp>
    <xdr:clientData/>
  </xdr:twoCellAnchor>
  <xdr:twoCellAnchor>
    <xdr:from>
      <xdr:col>0</xdr:col>
      <xdr:colOff>123825</xdr:colOff>
      <xdr:row>5</xdr:row>
      <xdr:rowOff>47626</xdr:rowOff>
    </xdr:from>
    <xdr:to>
      <xdr:col>0</xdr:col>
      <xdr:colOff>1314450</xdr:colOff>
      <xdr:row>7</xdr:row>
      <xdr:rowOff>19049</xdr:rowOff>
    </xdr:to>
    <xdr:sp macro="[0]!Nova_Venda" textlink="">
      <xdr:nvSpPr>
        <xdr:cNvPr id="3" name="Retângulo 2">
          <a:extLst>
            <a:ext uri="{FF2B5EF4-FFF2-40B4-BE49-F238E27FC236}">
              <a16:creationId xmlns:a16="http://schemas.microsoft.com/office/drawing/2014/main" id="{9DB12C72-50C2-4B8C-8853-B796FE5CCEF9}"/>
            </a:ext>
          </a:extLst>
        </xdr:cNvPr>
        <xdr:cNvSpPr/>
      </xdr:nvSpPr>
      <xdr:spPr>
        <a:xfrm>
          <a:off x="123825" y="1076326"/>
          <a:ext cx="1190625" cy="352423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Nova</a:t>
          </a:r>
          <a:r>
            <a:rPr lang="pt-BR" sz="1200" b="1" baseline="0">
              <a:solidFill>
                <a:schemeClr val="bg1"/>
              </a:solidFill>
            </a:rPr>
            <a:t> Venda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123825</xdr:colOff>
      <xdr:row>7</xdr:row>
      <xdr:rowOff>95251</xdr:rowOff>
    </xdr:from>
    <xdr:to>
      <xdr:col>0</xdr:col>
      <xdr:colOff>1314450</xdr:colOff>
      <xdr:row>9</xdr:row>
      <xdr:rowOff>57149</xdr:rowOff>
    </xdr:to>
    <xdr:sp macro="[0]!Inserir_Produto" textlink="">
      <xdr:nvSpPr>
        <xdr:cNvPr id="4" name="Retângulo 3">
          <a:extLst>
            <a:ext uri="{FF2B5EF4-FFF2-40B4-BE49-F238E27FC236}">
              <a16:creationId xmlns:a16="http://schemas.microsoft.com/office/drawing/2014/main" id="{89A3309A-8AC6-428F-B82F-C68A48BA85CD}"/>
            </a:ext>
          </a:extLst>
        </xdr:cNvPr>
        <xdr:cNvSpPr/>
      </xdr:nvSpPr>
      <xdr:spPr>
        <a:xfrm>
          <a:off x="123825" y="1504951"/>
          <a:ext cx="1190625" cy="342898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Inserir Produto</a:t>
          </a:r>
        </a:p>
      </xdr:txBody>
    </xdr:sp>
    <xdr:clientData/>
  </xdr:twoCellAnchor>
  <xdr:twoCellAnchor>
    <xdr:from>
      <xdr:col>12</xdr:col>
      <xdr:colOff>381001</xdr:colOff>
      <xdr:row>1</xdr:row>
      <xdr:rowOff>19050</xdr:rowOff>
    </xdr:from>
    <xdr:to>
      <xdr:col>13</xdr:col>
      <xdr:colOff>28576</xdr:colOff>
      <xdr:row>1</xdr:row>
      <xdr:rowOff>304800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E094AE-3A47-4B3A-B8BF-BA6AEB215D78}"/>
            </a:ext>
          </a:extLst>
        </xdr:cNvPr>
        <xdr:cNvSpPr/>
      </xdr:nvSpPr>
      <xdr:spPr>
        <a:xfrm>
          <a:off x="11277601" y="142875"/>
          <a:ext cx="933450" cy="28575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Menu</a:t>
          </a:r>
        </a:p>
      </xdr:txBody>
    </xdr:sp>
    <xdr:clientData/>
  </xdr:twoCellAnchor>
  <xdr:twoCellAnchor>
    <xdr:from>
      <xdr:col>11</xdr:col>
      <xdr:colOff>152401</xdr:colOff>
      <xdr:row>1</xdr:row>
      <xdr:rowOff>19050</xdr:rowOff>
    </xdr:from>
    <xdr:to>
      <xdr:col>12</xdr:col>
      <xdr:colOff>276226</xdr:colOff>
      <xdr:row>1</xdr:row>
      <xdr:rowOff>304800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3C0E634-7DB3-4EC5-9380-5478E37F2C78}"/>
            </a:ext>
          </a:extLst>
        </xdr:cNvPr>
        <xdr:cNvSpPr/>
      </xdr:nvSpPr>
      <xdr:spPr>
        <a:xfrm>
          <a:off x="10239376" y="142875"/>
          <a:ext cx="933450" cy="28575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Vendas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0</xdr:row>
      <xdr:rowOff>142875</xdr:rowOff>
    </xdr:from>
    <xdr:to>
      <xdr:col>6</xdr:col>
      <xdr:colOff>1085850</xdr:colOff>
      <xdr:row>2</xdr:row>
      <xdr:rowOff>57150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A7BDEA-4840-4049-839E-0BD3F62D2AF4}"/>
            </a:ext>
          </a:extLst>
        </xdr:cNvPr>
        <xdr:cNvSpPr/>
      </xdr:nvSpPr>
      <xdr:spPr>
        <a:xfrm>
          <a:off x="5391150" y="142875"/>
          <a:ext cx="1057275" cy="29527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accent6"/>
              </a:solidFill>
            </a:rPr>
            <a:t>Semana</a:t>
          </a:r>
          <a:r>
            <a:rPr lang="pt-BR" sz="1200" baseline="0">
              <a:solidFill>
                <a:schemeClr val="accent6"/>
              </a:solidFill>
            </a:rPr>
            <a:t> 2</a:t>
          </a:r>
          <a:endParaRPr lang="pt-BR" sz="1200">
            <a:solidFill>
              <a:schemeClr val="accent6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2</xdr:row>
      <xdr:rowOff>180975</xdr:rowOff>
    </xdr:from>
    <xdr:to>
      <xdr:col>0</xdr:col>
      <xdr:colOff>1352550</xdr:colOff>
      <xdr:row>4</xdr:row>
      <xdr:rowOff>161925</xdr:rowOff>
    </xdr:to>
    <xdr:sp macro="[0]!Excluir_Registro" textlink="">
      <xdr:nvSpPr>
        <xdr:cNvPr id="2" name="Retângulo 1">
          <a:extLst>
            <a:ext uri="{FF2B5EF4-FFF2-40B4-BE49-F238E27FC236}">
              <a16:creationId xmlns:a16="http://schemas.microsoft.com/office/drawing/2014/main" id="{F7B08FF8-88BF-4100-8C23-D93DC2E5CC87}"/>
            </a:ext>
          </a:extLst>
        </xdr:cNvPr>
        <xdr:cNvSpPr/>
      </xdr:nvSpPr>
      <xdr:spPr>
        <a:xfrm>
          <a:off x="161925" y="685800"/>
          <a:ext cx="1190625" cy="36195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Excluir Registro</a:t>
          </a:r>
        </a:p>
      </xdr:txBody>
    </xdr:sp>
    <xdr:clientData/>
  </xdr:twoCellAnchor>
  <xdr:twoCellAnchor>
    <xdr:from>
      <xdr:col>0</xdr:col>
      <xdr:colOff>152400</xdr:colOff>
      <xdr:row>5</xdr:row>
      <xdr:rowOff>47626</xdr:rowOff>
    </xdr:from>
    <xdr:to>
      <xdr:col>0</xdr:col>
      <xdr:colOff>1343025</xdr:colOff>
      <xdr:row>7</xdr:row>
      <xdr:rowOff>19049</xdr:rowOff>
    </xdr:to>
    <xdr:sp macro="[0]!Nova_Venda" textlink="">
      <xdr:nvSpPr>
        <xdr:cNvPr id="3" name="Retângulo 2">
          <a:extLst>
            <a:ext uri="{FF2B5EF4-FFF2-40B4-BE49-F238E27FC236}">
              <a16:creationId xmlns:a16="http://schemas.microsoft.com/office/drawing/2014/main" id="{50514EDD-FCB4-4961-AE60-EE0F22E29E2F}"/>
            </a:ext>
          </a:extLst>
        </xdr:cNvPr>
        <xdr:cNvSpPr/>
      </xdr:nvSpPr>
      <xdr:spPr>
        <a:xfrm>
          <a:off x="152400" y="1123951"/>
          <a:ext cx="1190625" cy="352423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Nova</a:t>
          </a:r>
          <a:r>
            <a:rPr lang="pt-BR" sz="1200" b="1" baseline="0">
              <a:solidFill>
                <a:schemeClr val="bg1"/>
              </a:solidFill>
            </a:rPr>
            <a:t> Venda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152400</xdr:colOff>
      <xdr:row>7</xdr:row>
      <xdr:rowOff>95251</xdr:rowOff>
    </xdr:from>
    <xdr:to>
      <xdr:col>0</xdr:col>
      <xdr:colOff>1343025</xdr:colOff>
      <xdr:row>9</xdr:row>
      <xdr:rowOff>57149</xdr:rowOff>
    </xdr:to>
    <xdr:sp macro="[0]!Inserir_Produto" textlink="">
      <xdr:nvSpPr>
        <xdr:cNvPr id="4" name="Retângulo 3">
          <a:extLst>
            <a:ext uri="{FF2B5EF4-FFF2-40B4-BE49-F238E27FC236}">
              <a16:creationId xmlns:a16="http://schemas.microsoft.com/office/drawing/2014/main" id="{E5B19F14-AC3D-4462-A75B-E612B7321A48}"/>
            </a:ext>
          </a:extLst>
        </xdr:cNvPr>
        <xdr:cNvSpPr/>
      </xdr:nvSpPr>
      <xdr:spPr>
        <a:xfrm>
          <a:off x="152400" y="1552576"/>
          <a:ext cx="1190625" cy="342898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Inserir Produto</a:t>
          </a:r>
        </a:p>
      </xdr:txBody>
    </xdr:sp>
    <xdr:clientData/>
  </xdr:twoCellAnchor>
  <xdr:twoCellAnchor>
    <xdr:from>
      <xdr:col>12</xdr:col>
      <xdr:colOff>276225</xdr:colOff>
      <xdr:row>1</xdr:row>
      <xdr:rowOff>28575</xdr:rowOff>
    </xdr:from>
    <xdr:to>
      <xdr:col>12</xdr:col>
      <xdr:colOff>1257300</xdr:colOff>
      <xdr:row>1</xdr:row>
      <xdr:rowOff>295275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A95431-F57F-466A-AE9C-EF1B06281D78}"/>
            </a:ext>
          </a:extLst>
        </xdr:cNvPr>
        <xdr:cNvSpPr/>
      </xdr:nvSpPr>
      <xdr:spPr>
        <a:xfrm>
          <a:off x="12230100" y="219075"/>
          <a:ext cx="981075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Menu</a:t>
          </a:r>
        </a:p>
      </xdr:txBody>
    </xdr:sp>
    <xdr:clientData/>
  </xdr:twoCellAnchor>
  <xdr:twoCellAnchor>
    <xdr:from>
      <xdr:col>10</xdr:col>
      <xdr:colOff>1143000</xdr:colOff>
      <xdr:row>1</xdr:row>
      <xdr:rowOff>28575</xdr:rowOff>
    </xdr:from>
    <xdr:to>
      <xdr:col>12</xdr:col>
      <xdr:colOff>219075</xdr:colOff>
      <xdr:row>1</xdr:row>
      <xdr:rowOff>295275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F34B208-F3B8-41A6-AA15-64584B569D6C}"/>
            </a:ext>
          </a:extLst>
        </xdr:cNvPr>
        <xdr:cNvSpPr/>
      </xdr:nvSpPr>
      <xdr:spPr>
        <a:xfrm>
          <a:off x="11191875" y="219075"/>
          <a:ext cx="981075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Vendas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0</xdr:row>
      <xdr:rowOff>180975</xdr:rowOff>
    </xdr:from>
    <xdr:to>
      <xdr:col>6</xdr:col>
      <xdr:colOff>1085850</xdr:colOff>
      <xdr:row>2</xdr:row>
      <xdr:rowOff>95250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AAFA57E-3BB4-4E2A-88DA-5DF0284B42E5}"/>
            </a:ext>
          </a:extLst>
        </xdr:cNvPr>
        <xdr:cNvSpPr/>
      </xdr:nvSpPr>
      <xdr:spPr>
        <a:xfrm>
          <a:off x="5391150" y="180975"/>
          <a:ext cx="1057275" cy="29527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accent6"/>
              </a:solidFill>
            </a:rPr>
            <a:t>Semana</a:t>
          </a:r>
          <a:r>
            <a:rPr lang="pt-BR" sz="1200" baseline="0">
              <a:solidFill>
                <a:schemeClr val="accent6"/>
              </a:solidFill>
            </a:rPr>
            <a:t> 3</a:t>
          </a:r>
          <a:endParaRPr lang="pt-BR" sz="1200">
            <a:solidFill>
              <a:schemeClr val="accent6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2</xdr:row>
      <xdr:rowOff>180975</xdr:rowOff>
    </xdr:from>
    <xdr:to>
      <xdr:col>0</xdr:col>
      <xdr:colOff>1343025</xdr:colOff>
      <xdr:row>4</xdr:row>
      <xdr:rowOff>161925</xdr:rowOff>
    </xdr:to>
    <xdr:sp macro="[0]!Excluir_Registro" textlink="">
      <xdr:nvSpPr>
        <xdr:cNvPr id="2" name="Retângulo 1">
          <a:extLst>
            <a:ext uri="{FF2B5EF4-FFF2-40B4-BE49-F238E27FC236}">
              <a16:creationId xmlns:a16="http://schemas.microsoft.com/office/drawing/2014/main" id="{4FB9EF86-3499-406E-9188-3E9818762A14}"/>
            </a:ext>
          </a:extLst>
        </xdr:cNvPr>
        <xdr:cNvSpPr/>
      </xdr:nvSpPr>
      <xdr:spPr>
        <a:xfrm>
          <a:off x="152400" y="685800"/>
          <a:ext cx="1190625" cy="361950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Excluir Registro</a:t>
          </a:r>
        </a:p>
      </xdr:txBody>
    </xdr:sp>
    <xdr:clientData/>
  </xdr:twoCellAnchor>
  <xdr:twoCellAnchor>
    <xdr:from>
      <xdr:col>0</xdr:col>
      <xdr:colOff>142875</xdr:colOff>
      <xdr:row>5</xdr:row>
      <xdr:rowOff>47626</xdr:rowOff>
    </xdr:from>
    <xdr:to>
      <xdr:col>0</xdr:col>
      <xdr:colOff>1333500</xdr:colOff>
      <xdr:row>7</xdr:row>
      <xdr:rowOff>19049</xdr:rowOff>
    </xdr:to>
    <xdr:sp macro="[0]!Nova_Venda" textlink="">
      <xdr:nvSpPr>
        <xdr:cNvPr id="3" name="Retângulo 2">
          <a:extLst>
            <a:ext uri="{FF2B5EF4-FFF2-40B4-BE49-F238E27FC236}">
              <a16:creationId xmlns:a16="http://schemas.microsoft.com/office/drawing/2014/main" id="{2A1CD73C-98D3-4A99-A6CC-5E0E54E99181}"/>
            </a:ext>
          </a:extLst>
        </xdr:cNvPr>
        <xdr:cNvSpPr/>
      </xdr:nvSpPr>
      <xdr:spPr>
        <a:xfrm>
          <a:off x="142875" y="1123951"/>
          <a:ext cx="1190625" cy="352423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Nova</a:t>
          </a:r>
          <a:r>
            <a:rPr lang="pt-BR" sz="1200" b="1" baseline="0">
              <a:solidFill>
                <a:schemeClr val="bg1"/>
              </a:solidFill>
            </a:rPr>
            <a:t> Venda</a:t>
          </a:r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142875</xdr:colOff>
      <xdr:row>7</xdr:row>
      <xdr:rowOff>95251</xdr:rowOff>
    </xdr:from>
    <xdr:to>
      <xdr:col>0</xdr:col>
      <xdr:colOff>1333500</xdr:colOff>
      <xdr:row>9</xdr:row>
      <xdr:rowOff>57149</xdr:rowOff>
    </xdr:to>
    <xdr:sp macro="[0]!Inserir_Produto" textlink="">
      <xdr:nvSpPr>
        <xdr:cNvPr id="4" name="Retângulo 3">
          <a:extLst>
            <a:ext uri="{FF2B5EF4-FFF2-40B4-BE49-F238E27FC236}">
              <a16:creationId xmlns:a16="http://schemas.microsoft.com/office/drawing/2014/main" id="{173A031C-17D5-478B-B0F7-A4EEFDE07BA6}"/>
            </a:ext>
          </a:extLst>
        </xdr:cNvPr>
        <xdr:cNvSpPr/>
      </xdr:nvSpPr>
      <xdr:spPr>
        <a:xfrm>
          <a:off x="142875" y="1552576"/>
          <a:ext cx="1190625" cy="342898"/>
        </a:xfrm>
        <a:prstGeom prst="rect">
          <a:avLst/>
        </a:prstGeom>
        <a:solidFill>
          <a:schemeClr val="accent6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</a:rPr>
            <a:t>Inserir Produto</a:t>
          </a:r>
        </a:p>
      </xdr:txBody>
    </xdr:sp>
    <xdr:clientData/>
  </xdr:twoCellAnchor>
  <xdr:twoCellAnchor>
    <xdr:from>
      <xdr:col>12</xdr:col>
      <xdr:colOff>295275</xdr:colOff>
      <xdr:row>1</xdr:row>
      <xdr:rowOff>28575</xdr:rowOff>
    </xdr:from>
    <xdr:to>
      <xdr:col>12</xdr:col>
      <xdr:colOff>1276350</xdr:colOff>
      <xdr:row>1</xdr:row>
      <xdr:rowOff>295275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3FA676-1FF7-4B31-B362-94055EB6C4D0}"/>
            </a:ext>
          </a:extLst>
        </xdr:cNvPr>
        <xdr:cNvSpPr/>
      </xdr:nvSpPr>
      <xdr:spPr>
        <a:xfrm>
          <a:off x="11925300" y="219075"/>
          <a:ext cx="981075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Menu</a:t>
          </a:r>
        </a:p>
      </xdr:txBody>
    </xdr:sp>
    <xdr:clientData/>
  </xdr:twoCellAnchor>
  <xdr:twoCellAnchor>
    <xdr:from>
      <xdr:col>11</xdr:col>
      <xdr:colOff>66675</xdr:colOff>
      <xdr:row>1</xdr:row>
      <xdr:rowOff>28575</xdr:rowOff>
    </xdr:from>
    <xdr:to>
      <xdr:col>12</xdr:col>
      <xdr:colOff>238125</xdr:colOff>
      <xdr:row>1</xdr:row>
      <xdr:rowOff>295275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F7FD455-CD81-41C2-9BA4-B869E595F10B}"/>
            </a:ext>
          </a:extLst>
        </xdr:cNvPr>
        <xdr:cNvSpPr/>
      </xdr:nvSpPr>
      <xdr:spPr>
        <a:xfrm>
          <a:off x="10887075" y="219075"/>
          <a:ext cx="981075" cy="26670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Vendas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0</xdr:row>
      <xdr:rowOff>161925</xdr:rowOff>
    </xdr:from>
    <xdr:to>
      <xdr:col>6</xdr:col>
      <xdr:colOff>1066800</xdr:colOff>
      <xdr:row>2</xdr:row>
      <xdr:rowOff>76200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424176-1629-401B-997A-42ACB8FCF178}"/>
            </a:ext>
          </a:extLst>
        </xdr:cNvPr>
        <xdr:cNvSpPr/>
      </xdr:nvSpPr>
      <xdr:spPr>
        <a:xfrm>
          <a:off x="5372100" y="161925"/>
          <a:ext cx="1057275" cy="295275"/>
        </a:xfrm>
        <a:prstGeom prst="rect">
          <a:avLst/>
        </a:prstGeom>
        <a:noFill/>
        <a:ln>
          <a:solidFill>
            <a:schemeClr val="accent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solidFill>
                <a:schemeClr val="accent6"/>
              </a:solidFill>
            </a:rPr>
            <a:t>Semana</a:t>
          </a:r>
          <a:r>
            <a:rPr lang="pt-BR" sz="1200" baseline="0">
              <a:solidFill>
                <a:schemeClr val="accent6"/>
              </a:solidFill>
            </a:rPr>
            <a:t> 4</a:t>
          </a:r>
          <a:endParaRPr lang="pt-BR" sz="1200">
            <a:solidFill>
              <a:schemeClr val="accent6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una Rocha" id="{B392E045-8792-47F1-83CE-98DD1CD2DB51}" userId="Bruna Rocha" providerId="Non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a Rocha" refreshedDate="45497.506997685188" createdVersion="8" refreshedVersion="8" minRefreshableVersion="3" recordCount="27" xr:uid="{5913868B-F48B-4649-87A6-08A4670F1F8D}">
  <cacheSource type="worksheet">
    <worksheetSource name="VendasSem2"/>
  </cacheSource>
  <cacheFields count="12">
    <cacheField name="Id da Venda" numFmtId="0">
      <sharedItems containsSemiMixedTypes="0" containsString="0" containsNumber="1" containsInteger="1" minValue="16" maxValue="22"/>
    </cacheField>
    <cacheField name="Data" numFmtId="14">
      <sharedItems containsSemiMixedTypes="0" containsNonDate="0" containsDate="1" containsString="0" minDate="2023-09-11T00:00:00" maxDate="2023-09-17T00:00:00"/>
    </cacheField>
    <cacheField name="Produto" numFmtId="0">
      <sharedItems count="18">
        <s v="Alface"/>
        <s v="Tomate"/>
        <s v="Leite"/>
        <s v="Pão de Forma"/>
        <s v="Cigarro"/>
        <s v="Vinho"/>
        <s v="Cerveja"/>
        <s v="Refrigerante"/>
        <s v="Chocolate"/>
        <s v="Vagem"/>
        <s v="Cenoura"/>
        <s v="Couve"/>
        <s v="Arroz"/>
        <s v="Feijão"/>
        <s v="Carne"/>
        <s v="Peixe"/>
        <s v="Bala"/>
        <s v="Frango"/>
      </sharedItems>
    </cacheField>
    <cacheField name="Medida" numFmtId="0">
      <sharedItems/>
    </cacheField>
    <cacheField name="Quantidade" numFmtId="0">
      <sharedItems containsSemiMixedTypes="0" containsString="0" containsNumber="1" containsInteger="1" minValue="2" maxValue="300"/>
    </cacheField>
    <cacheField name="Preço Unitário" numFmtId="44">
      <sharedItems containsSemiMixedTypes="0" containsString="0" containsNumber="1" minValue="1.49" maxValue="29.9"/>
    </cacheField>
    <cacheField name="Subtotal" numFmtId="44">
      <sharedItems containsSemiMixedTypes="0" containsString="0" containsNumber="1" minValue="3.98" maxValue="2990"/>
    </cacheField>
    <cacheField name="Desconto" numFmtId="9">
      <sharedItems containsNonDate="0" containsString="0" containsBlank="1"/>
    </cacheField>
    <cacheField name="Região de Entrega" numFmtId="0">
      <sharedItems containsBlank="1" count="5">
        <m/>
        <s v="Zona Sul"/>
        <s v="Loja"/>
        <s v="Zona Norte"/>
        <s v="Centro"/>
      </sharedItems>
    </cacheField>
    <cacheField name="Valor de Entrega" numFmtId="44">
      <sharedItems containsSemiMixedTypes="0" containsString="0" containsNumber="1" minValue="0" maxValue="12.8"/>
    </cacheField>
    <cacheField name="Total" numFmtId="44">
      <sharedItems containsSemiMixedTypes="0" containsString="0" containsNumber="1" minValue="3.98" maxValue="2990"/>
    </cacheField>
    <cacheField name="Total para Cliente" numFmtId="44">
      <sharedItems containsMixedTypes="1" containsNumber="1" minValue="10.95" maxValue="5770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a Rocha" refreshedDate="45497.507618402778" createdVersion="8" refreshedVersion="8" minRefreshableVersion="3" recordCount="48" xr:uid="{51680833-AB6C-4006-B150-6AB66E00C5DB}">
  <cacheSource type="worksheet">
    <worksheetSource name="VendasSem3"/>
  </cacheSource>
  <cacheFields count="12">
    <cacheField name="Id da Venda" numFmtId="0">
      <sharedItems containsSemiMixedTypes="0" containsString="0" containsNumber="1" containsInteger="1" minValue="23" maxValue="32"/>
    </cacheField>
    <cacheField name="Data" numFmtId="14">
      <sharedItems containsSemiMixedTypes="0" containsNonDate="0" containsDate="1" containsString="0" minDate="2023-09-11T00:00:00" maxDate="2023-09-17T00:00:00"/>
    </cacheField>
    <cacheField name="Produto" numFmtId="0">
      <sharedItems count="22">
        <s v="Cerveja"/>
        <s v="Arroz"/>
        <s v="Leite"/>
        <s v="Couve"/>
        <s v="Vinho"/>
        <s v="Vodka"/>
        <s v="Refrigerante"/>
        <s v="Chocolate"/>
        <s v="Carne"/>
        <s v="Tomate"/>
        <s v="Cigarro"/>
        <s v="Alface"/>
        <s v="Amendoim"/>
        <s v="Frango"/>
        <s v="Cenoura"/>
        <s v="Feijão"/>
        <s v="Bala"/>
        <s v="Peixe"/>
        <s v="Caixa de Fósforo"/>
        <s v="Barra de Cereal"/>
        <s v="Pão de Forma"/>
        <s v="Queijo"/>
      </sharedItems>
    </cacheField>
    <cacheField name="Medida" numFmtId="0">
      <sharedItems/>
    </cacheField>
    <cacheField name="Quantidade" numFmtId="0">
      <sharedItems containsSemiMixedTypes="0" containsString="0" containsNumber="1" containsInteger="1" minValue="1" maxValue="133"/>
    </cacheField>
    <cacheField name="Preço Unitário" numFmtId="44">
      <sharedItems containsSemiMixedTypes="0" containsString="0" containsNumber="1" minValue="0.79" maxValue="54.9"/>
    </cacheField>
    <cacheField name="Subtotal" numFmtId="44">
      <sharedItems containsSemiMixedTypes="0" containsString="0" containsNumber="1" minValue="1.1499999999999999" maxValue="717.59999999999991"/>
    </cacheField>
    <cacheField name="Desconto" numFmtId="9">
      <sharedItems containsNonDate="0" containsString="0" containsBlank="1"/>
    </cacheField>
    <cacheField name="Região de Entrega" numFmtId="0">
      <sharedItems containsBlank="1" count="5">
        <m/>
        <s v="Zona Oeste"/>
        <s v="Loja"/>
        <s v="Zona Sul"/>
        <s v="Centro"/>
      </sharedItems>
    </cacheField>
    <cacheField name="Valor de Entrega" numFmtId="44">
      <sharedItems containsSemiMixedTypes="0" containsString="0" containsNumber="1" containsInteger="1" minValue="0" maxValue="15"/>
    </cacheField>
    <cacheField name="Total" numFmtId="44">
      <sharedItems containsSemiMixedTypes="0" containsString="0" containsNumber="1" minValue="1.1499999999999999" maxValue="717.59999999999991"/>
    </cacheField>
    <cacheField name="Total para Cliente" numFmtId="44">
      <sharedItems containsMixedTypes="1" containsNumber="1" minValue="7.98" maxValue="2431.43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a Rocha" refreshedDate="45505.785576273149" createdVersion="8" refreshedVersion="8" minRefreshableVersion="3" recordCount="33" xr:uid="{9483EFA7-6A48-4888-839C-E0695361C8B3}">
  <cacheSource type="worksheet">
    <worksheetSource name="VendasSem1"/>
  </cacheSource>
  <cacheFields count="12">
    <cacheField name="Id da Venda" numFmtId="0">
      <sharedItems containsSemiMixedTypes="0" containsString="0" containsNumber="1" containsInteger="1" minValue="1" maxValue="15"/>
    </cacheField>
    <cacheField name="Data" numFmtId="14">
      <sharedItems containsSemiMixedTypes="0" containsNonDate="0" containsDate="1" containsString="0" minDate="2023-09-02T00:00:00" maxDate="2023-09-10T00:00:00" count="7">
        <d v="2023-09-09T00:00:00"/>
        <d v="2023-09-08T00:00:00"/>
        <d v="2023-09-07T00:00:00"/>
        <d v="2023-09-06T00:00:00"/>
        <d v="2023-09-05T00:00:00"/>
        <d v="2023-09-04T00:00:00"/>
        <d v="2023-09-02T00:00:00"/>
      </sharedItems>
    </cacheField>
    <cacheField name="Produto" numFmtId="0">
      <sharedItems count="22">
        <s v="Arroz"/>
        <s v="Laranja"/>
        <s v="Batata Doce"/>
        <s v="Escarola"/>
        <s v="Amendoim"/>
        <s v="Leite"/>
        <s v="Couve"/>
        <s v="Vinho"/>
        <s v="Vodka"/>
        <s v="Refrigerante"/>
        <s v="Chocolate"/>
        <s v="Cerveja"/>
        <s v="Carne"/>
        <s v="Tomate"/>
        <s v="Cigarro"/>
        <s v="Alface"/>
        <s v="Frango"/>
        <s v="Cenoura"/>
        <s v="Feijão"/>
        <s v="Bala"/>
        <s v="Peixe"/>
        <s v="Caixa de Fósforo"/>
      </sharedItems>
    </cacheField>
    <cacheField name="Medida" numFmtId="0">
      <sharedItems/>
    </cacheField>
    <cacheField name="Quantidade" numFmtId="0">
      <sharedItems containsSemiMixedTypes="0" containsString="0" containsNumber="1" containsInteger="1" minValue="1" maxValue="100"/>
    </cacheField>
    <cacheField name="Preço Unitário" numFmtId="44">
      <sharedItems containsSemiMixedTypes="0" containsString="0" containsNumber="1" minValue="0.79" maxValue="54.9"/>
    </cacheField>
    <cacheField name="Subtotal" numFmtId="44">
      <sharedItems containsSemiMixedTypes="0" containsString="0" containsNumber="1" minValue="1.1499999999999999" maxValue="897"/>
    </cacheField>
    <cacheField name="Desconto" numFmtId="0">
      <sharedItems containsString="0" containsBlank="1" containsNumber="1" minValue="0.02" maxValue="0.05"/>
    </cacheField>
    <cacheField name="Região de Entrega" numFmtId="0">
      <sharedItems count="5">
        <s v="Loja"/>
        <s v="Centro"/>
        <s v="Zona Sul"/>
        <s v="Zona Norte"/>
        <s v="Zona Oeste"/>
      </sharedItems>
    </cacheField>
    <cacheField name="Valor de Entrega" numFmtId="44">
      <sharedItems containsSemiMixedTypes="0" containsString="0" containsNumber="1" minValue="0" maxValue="15"/>
    </cacheField>
    <cacheField name="Total" numFmtId="44">
      <sharedItems containsSemiMixedTypes="0" containsString="0" containsNumber="1" minValue="1.1499999999999999" maxValue="852.15"/>
    </cacheField>
    <cacheField name="Total para Cliente" numFmtId="44">
      <sharedItems containsMixedTypes="1" containsNumber="1" minValue="7.8000000000000007" maxValue="985.97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a Rocha" refreshedDate="45505.911640046295" createdVersion="8" refreshedVersion="8" minRefreshableVersion="3" recordCount="562" xr:uid="{471C3599-A33E-4E74-8BF1-596E558BE553}">
  <cacheSource type="worksheet">
    <worksheetSource name="VendasSem4"/>
  </cacheSource>
  <cacheFields count="12">
    <cacheField name="Id da Venda" numFmtId="0">
      <sharedItems containsSemiMixedTypes="0" containsString="0" containsNumber="1" containsInteger="1" minValue="33" maxValue="104"/>
    </cacheField>
    <cacheField name="Data" numFmtId="14">
      <sharedItems containsSemiMixedTypes="0" containsNonDate="0" containsDate="1" containsString="0" minDate="2023-09-18T00:00:00" maxDate="2023-09-24T00:00:00" count="6">
        <d v="2023-09-18T00:00:00"/>
        <d v="2023-09-19T00:00:00"/>
        <d v="2023-09-20T00:00:00"/>
        <d v="2023-09-21T00:00:00"/>
        <d v="2023-09-22T00:00:00"/>
        <d v="2023-09-23T00:00:00"/>
      </sharedItems>
    </cacheField>
    <cacheField name="Produto" numFmtId="0">
      <sharedItems containsBlank="1" count="45">
        <s v="Arroz"/>
        <s v="Feijão"/>
        <s v="Cenoura"/>
        <s v="Alface"/>
        <s v="Chocolate"/>
        <s v="Refrigerante"/>
        <s v="Leite"/>
        <s v="Cerveja"/>
        <s v="Tomate"/>
        <s v="Vagem"/>
        <s v="Carne"/>
        <s v="Pão de Forma"/>
        <s v="Frango"/>
        <s v="Queijo"/>
        <s v="Couve"/>
        <s v="Peixe"/>
        <s v="Bala"/>
        <s v="Amendoim"/>
        <s v="Barra de Cereal"/>
        <s v="Banana"/>
        <s v="Laranja"/>
        <s v="Batata Doce"/>
        <s v="Suco"/>
        <s v="Vinho"/>
        <s v="Vodka"/>
        <s v="Ameixa"/>
        <s v="Repolho"/>
        <s v="Quiabo"/>
        <s v="Ervilha Torta"/>
        <s v="Milho"/>
        <s v="Pepino"/>
        <s v="Salsão"/>
        <s v="Batata Inglesa"/>
        <s v="Melão"/>
        <s v="Jiló"/>
        <s v="Maracujá"/>
        <s v="Melancia"/>
        <s v="Mexerica"/>
        <s v="Goiaba"/>
        <s v="Abobrinha"/>
        <s v="Lichia"/>
        <s v="Caixa de Fósforo"/>
        <s v="Cigarro"/>
        <s v="Escarola"/>
        <m u="1"/>
      </sharedItems>
    </cacheField>
    <cacheField name="Medida" numFmtId="0">
      <sharedItems/>
    </cacheField>
    <cacheField name="Quantidade" numFmtId="0">
      <sharedItems containsSemiMixedTypes="0" containsString="0" containsNumber="1" minValue="0.2" maxValue="200"/>
    </cacheField>
    <cacheField name="Preço Unitário" numFmtId="44">
      <sharedItems containsSemiMixedTypes="0" containsString="0" containsNumber="1" minValue="0.79" maxValue="54.9"/>
    </cacheField>
    <cacheField name="Subtotal" numFmtId="44">
      <sharedItems containsSemiMixedTypes="0" containsString="0" containsNumber="1" minValue="0.89999999999999991" maxValue="10980"/>
    </cacheField>
    <cacheField name="Desconto" numFmtId="9">
      <sharedItems containsString="0" containsBlank="1" containsNumber="1" minValue="0.05" maxValue="0.05"/>
    </cacheField>
    <cacheField name="Região de Entrega" numFmtId="0">
      <sharedItems containsBlank="1" count="6">
        <s v="Loja"/>
        <s v="Zona Norte"/>
        <s v="Centro"/>
        <s v="Zona Sul"/>
        <s v="Zona Oeste"/>
        <m u="1"/>
      </sharedItems>
    </cacheField>
    <cacheField name="Valor de Entrega" numFmtId="44">
      <sharedItems containsSemiMixedTypes="0" containsString="0" containsNumber="1" minValue="0" maxValue="15"/>
    </cacheField>
    <cacheField name="Total" numFmtId="44">
      <sharedItems containsSemiMixedTypes="0" containsString="0" containsNumber="1" minValue="0.89999999999999991" maxValue="10980"/>
    </cacheField>
    <cacheField name="Total para Cliente" numFmtId="44">
      <sharedItems containsMixedTypes="1" containsNumber="1" minValue="5.88" maxValue="1636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n v="21"/>
    <d v="2023-09-16T00:00:00"/>
    <x v="0"/>
    <s v="Unidade"/>
    <n v="3"/>
    <n v="2.99"/>
    <n v="8.9700000000000006"/>
    <m/>
    <x v="0"/>
    <n v="0"/>
    <n v="8.9700000000000006"/>
    <s v=""/>
  </r>
  <r>
    <n v="21"/>
    <d v="2023-09-16T00:00:00"/>
    <x v="1"/>
    <s v="Kg"/>
    <n v="10"/>
    <n v="5.82"/>
    <n v="58.2"/>
    <m/>
    <x v="0"/>
    <n v="0"/>
    <n v="58.2"/>
    <s v=""/>
  </r>
  <r>
    <n v="21"/>
    <d v="2023-09-16T00:00:00"/>
    <x v="2"/>
    <s v="Litro"/>
    <n v="24"/>
    <n v="1.49"/>
    <n v="35.76"/>
    <m/>
    <x v="1"/>
    <n v="7"/>
    <n v="42.76"/>
    <n v="109.93"/>
  </r>
  <r>
    <n v="20"/>
    <d v="2023-09-15T00:00:00"/>
    <x v="3"/>
    <s v="Unidade"/>
    <n v="2"/>
    <n v="2.89"/>
    <n v="5.78"/>
    <m/>
    <x v="0"/>
    <n v="0"/>
    <n v="5.78"/>
    <s v=""/>
  </r>
  <r>
    <n v="20"/>
    <d v="2023-09-15T00:00:00"/>
    <x v="4"/>
    <s v="Maço"/>
    <n v="2"/>
    <n v="6.75"/>
    <n v="13.5"/>
    <m/>
    <x v="2"/>
    <n v="0"/>
    <n v="13.5"/>
    <n v="19.28"/>
  </r>
  <r>
    <n v="22"/>
    <d v="2023-09-15T00:00:00"/>
    <x v="5"/>
    <s v="Garrafa"/>
    <n v="100"/>
    <n v="29.9"/>
    <n v="2990"/>
    <m/>
    <x v="0"/>
    <n v="0"/>
    <n v="2990"/>
    <s v=""/>
  </r>
  <r>
    <n v="22"/>
    <d v="2023-09-15T00:00:00"/>
    <x v="6"/>
    <s v="Lata"/>
    <n v="250"/>
    <n v="2.19"/>
    <n v="547.5"/>
    <m/>
    <x v="0"/>
    <n v="0"/>
    <n v="547.5"/>
    <s v=""/>
  </r>
  <r>
    <n v="22"/>
    <d v="2023-09-15T00:00:00"/>
    <x v="4"/>
    <s v="Maço"/>
    <n v="50"/>
    <n v="6.75"/>
    <n v="337.5"/>
    <m/>
    <x v="0"/>
    <n v="0"/>
    <n v="337.5"/>
    <s v=""/>
  </r>
  <r>
    <n v="22"/>
    <d v="2023-09-15T00:00:00"/>
    <x v="7"/>
    <s v="Litro"/>
    <n v="300"/>
    <n v="2.39"/>
    <n v="717"/>
    <m/>
    <x v="0"/>
    <n v="0"/>
    <n v="717"/>
    <s v=""/>
  </r>
  <r>
    <n v="22"/>
    <d v="2023-09-15T00:00:00"/>
    <x v="8"/>
    <s v="Barra"/>
    <n v="150"/>
    <n v="4.99"/>
    <n v="748.5"/>
    <m/>
    <x v="0"/>
    <n v="0"/>
    <n v="748.5"/>
    <s v=""/>
  </r>
  <r>
    <n v="22"/>
    <d v="2023-09-15T00:00:00"/>
    <x v="2"/>
    <s v="Litro"/>
    <n v="280"/>
    <n v="1.49"/>
    <n v="417.2"/>
    <m/>
    <x v="3"/>
    <n v="12.8"/>
    <n v="430"/>
    <n v="5770.5"/>
  </r>
  <r>
    <n v="19"/>
    <d v="2023-09-14T00:00:00"/>
    <x v="2"/>
    <s v="Litro"/>
    <n v="36"/>
    <n v="1.49"/>
    <n v="53.64"/>
    <m/>
    <x v="2"/>
    <n v="0"/>
    <n v="53.64"/>
    <n v="53.64"/>
  </r>
  <r>
    <n v="18"/>
    <d v="2023-09-13T00:00:00"/>
    <x v="1"/>
    <s v="Kg"/>
    <n v="5"/>
    <n v="5.82"/>
    <n v="29.1"/>
    <m/>
    <x v="0"/>
    <n v="0"/>
    <n v="29.1"/>
    <s v=""/>
  </r>
  <r>
    <n v="18"/>
    <d v="2023-09-13T00:00:00"/>
    <x v="9"/>
    <s v="Kg"/>
    <n v="3"/>
    <n v="9.58"/>
    <n v="28.740000000000002"/>
    <m/>
    <x v="0"/>
    <n v="0"/>
    <n v="28.740000000000002"/>
    <s v=""/>
  </r>
  <r>
    <n v="18"/>
    <d v="2023-09-13T00:00:00"/>
    <x v="10"/>
    <s v="Kg"/>
    <n v="5"/>
    <n v="3.99"/>
    <n v="19.950000000000003"/>
    <m/>
    <x v="0"/>
    <n v="0"/>
    <n v="19.950000000000003"/>
    <s v=""/>
  </r>
  <r>
    <n v="18"/>
    <d v="2023-09-13T00:00:00"/>
    <x v="11"/>
    <s v="Unidade"/>
    <n v="3"/>
    <n v="2.6"/>
    <n v="7.8000000000000007"/>
    <m/>
    <x v="2"/>
    <n v="0"/>
    <n v="7.8000000000000007"/>
    <n v="85.59"/>
  </r>
  <r>
    <n v="17"/>
    <d v="2023-09-12T00:00:00"/>
    <x v="6"/>
    <s v="Lata"/>
    <n v="5"/>
    <n v="2.19"/>
    <n v="10.95"/>
    <m/>
    <x v="2"/>
    <n v="0"/>
    <n v="10.95"/>
    <n v="10.95"/>
  </r>
  <r>
    <n v="16"/>
    <d v="2023-09-11T00:00:00"/>
    <x v="12"/>
    <s v="Kg"/>
    <n v="15"/>
    <n v="2.4900000000000002"/>
    <n v="37.35"/>
    <m/>
    <x v="0"/>
    <n v="0"/>
    <n v="37.35"/>
    <s v=""/>
  </r>
  <r>
    <n v="16"/>
    <d v="2023-09-11T00:00:00"/>
    <x v="13"/>
    <s v="Kg"/>
    <n v="8"/>
    <n v="4.28"/>
    <n v="34.24"/>
    <m/>
    <x v="0"/>
    <n v="0"/>
    <n v="34.24"/>
    <s v=""/>
  </r>
  <r>
    <n v="16"/>
    <d v="2023-09-11T00:00:00"/>
    <x v="14"/>
    <s v="Kg"/>
    <n v="12"/>
    <n v="15.9"/>
    <n v="190.8"/>
    <m/>
    <x v="0"/>
    <n v="0"/>
    <n v="190.8"/>
    <s v=""/>
  </r>
  <r>
    <n v="16"/>
    <d v="2023-09-11T00:00:00"/>
    <x v="15"/>
    <s v="Kg"/>
    <n v="5"/>
    <n v="23.9"/>
    <n v="119.5"/>
    <m/>
    <x v="0"/>
    <n v="0"/>
    <n v="119.5"/>
    <s v=""/>
  </r>
  <r>
    <n v="16"/>
    <d v="2023-09-11T00:00:00"/>
    <x v="2"/>
    <s v="Litro"/>
    <n v="8"/>
    <n v="1.49"/>
    <n v="11.92"/>
    <m/>
    <x v="0"/>
    <n v="0"/>
    <n v="11.92"/>
    <s v=""/>
  </r>
  <r>
    <n v="16"/>
    <d v="2023-09-11T00:00:00"/>
    <x v="16"/>
    <s v="Pacote"/>
    <n v="2"/>
    <n v="1.99"/>
    <n v="3.98"/>
    <m/>
    <x v="0"/>
    <n v="0"/>
    <n v="3.98"/>
    <s v=""/>
  </r>
  <r>
    <n v="16"/>
    <d v="2023-09-11T00:00:00"/>
    <x v="10"/>
    <s v="Kg"/>
    <n v="3"/>
    <n v="3.99"/>
    <n v="11.97"/>
    <m/>
    <x v="0"/>
    <n v="0"/>
    <n v="11.97"/>
    <s v=""/>
  </r>
  <r>
    <n v="16"/>
    <d v="2023-09-11T00:00:00"/>
    <x v="11"/>
    <s v="Unidade"/>
    <n v="3"/>
    <n v="2.6"/>
    <n v="7.8000000000000007"/>
    <m/>
    <x v="0"/>
    <n v="0"/>
    <n v="7.8000000000000007"/>
    <s v=""/>
  </r>
  <r>
    <n v="16"/>
    <d v="2023-09-11T00:00:00"/>
    <x v="17"/>
    <s v="Kg"/>
    <n v="6"/>
    <n v="6.98"/>
    <n v="41.88"/>
    <m/>
    <x v="0"/>
    <n v="0"/>
    <n v="41.88"/>
    <s v=""/>
  </r>
  <r>
    <n v="16"/>
    <d v="2023-09-11T00:00:00"/>
    <x v="3"/>
    <s v="Unidade"/>
    <n v="2"/>
    <n v="2.89"/>
    <n v="5.78"/>
    <m/>
    <x v="4"/>
    <n v="10"/>
    <n v="15.780000000000001"/>
    <n v="475.2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n v="23"/>
    <d v="2023-09-11T00:00:00"/>
    <x v="0"/>
    <s v="Lata"/>
    <n v="10"/>
    <n v="2.19"/>
    <n v="21.9"/>
    <m/>
    <x v="0"/>
    <n v="0"/>
    <n v="21.9"/>
    <s v=""/>
  </r>
  <r>
    <n v="23"/>
    <d v="2023-09-11T00:00:00"/>
    <x v="1"/>
    <s v="Kg"/>
    <n v="15"/>
    <n v="2.4900000000000002"/>
    <n v="37.35"/>
    <m/>
    <x v="0"/>
    <n v="0"/>
    <n v="37.35"/>
    <s v=""/>
  </r>
  <r>
    <n v="23"/>
    <d v="2023-09-11T00:00:00"/>
    <x v="2"/>
    <s v="Litro"/>
    <n v="8"/>
    <n v="1.49"/>
    <n v="11.92"/>
    <m/>
    <x v="0"/>
    <n v="0"/>
    <n v="11.92"/>
    <s v=""/>
  </r>
  <r>
    <n v="23"/>
    <d v="2023-09-11T00:00:00"/>
    <x v="3"/>
    <s v="Unidade"/>
    <n v="7"/>
    <n v="2.6"/>
    <n v="18.2"/>
    <m/>
    <x v="0"/>
    <n v="0"/>
    <n v="18.2"/>
    <s v=""/>
  </r>
  <r>
    <n v="23"/>
    <d v="2023-09-11T00:00:00"/>
    <x v="4"/>
    <s v="Garrafa"/>
    <n v="6"/>
    <n v="29.9"/>
    <n v="179.39999999999998"/>
    <m/>
    <x v="0"/>
    <n v="0"/>
    <n v="179.39999999999998"/>
    <s v=""/>
  </r>
  <r>
    <n v="23"/>
    <d v="2023-09-11T00:00:00"/>
    <x v="5"/>
    <s v="Garrafa"/>
    <n v="4"/>
    <n v="54.9"/>
    <n v="219.6"/>
    <m/>
    <x v="0"/>
    <n v="0"/>
    <n v="219.6"/>
    <s v=""/>
  </r>
  <r>
    <n v="23"/>
    <d v="2023-09-11T00:00:00"/>
    <x v="6"/>
    <s v="Litro"/>
    <n v="2"/>
    <n v="2.39"/>
    <n v="4.78"/>
    <m/>
    <x v="0"/>
    <n v="0"/>
    <n v="4.78"/>
    <s v=""/>
  </r>
  <r>
    <n v="23"/>
    <d v="2023-09-11T00:00:00"/>
    <x v="7"/>
    <s v="Barra"/>
    <n v="7"/>
    <n v="4.99"/>
    <n v="34.93"/>
    <m/>
    <x v="0"/>
    <n v="0"/>
    <n v="34.93"/>
    <s v=""/>
  </r>
  <r>
    <n v="23"/>
    <d v="2023-09-11T00:00:00"/>
    <x v="0"/>
    <s v="Lata"/>
    <n v="9"/>
    <n v="2.19"/>
    <n v="19.71"/>
    <m/>
    <x v="0"/>
    <n v="0"/>
    <n v="19.71"/>
    <s v=""/>
  </r>
  <r>
    <n v="23"/>
    <d v="2023-09-11T00:00:00"/>
    <x v="8"/>
    <s v="Kg"/>
    <n v="10"/>
    <n v="15.9"/>
    <n v="159"/>
    <m/>
    <x v="1"/>
    <n v="15"/>
    <n v="174"/>
    <n v="721.79"/>
  </r>
  <r>
    <n v="24"/>
    <d v="2023-09-12T00:00:00"/>
    <x v="9"/>
    <s v="Kg"/>
    <n v="6"/>
    <n v="5.82"/>
    <n v="34.92"/>
    <m/>
    <x v="0"/>
    <n v="0"/>
    <n v="34.92"/>
    <s v=""/>
  </r>
  <r>
    <n v="24"/>
    <d v="2023-09-12T00:00:00"/>
    <x v="4"/>
    <s v="Garrafa"/>
    <n v="24"/>
    <n v="29.9"/>
    <n v="717.59999999999991"/>
    <m/>
    <x v="0"/>
    <n v="0"/>
    <n v="717.59999999999991"/>
    <s v=""/>
  </r>
  <r>
    <n v="24"/>
    <d v="2023-09-12T00:00:00"/>
    <x v="10"/>
    <s v="Maço"/>
    <n v="13"/>
    <n v="6.75"/>
    <n v="87.75"/>
    <m/>
    <x v="0"/>
    <n v="0"/>
    <n v="87.75"/>
    <s v=""/>
  </r>
  <r>
    <n v="24"/>
    <d v="2023-09-12T00:00:00"/>
    <x v="11"/>
    <s v="Unidade"/>
    <n v="10"/>
    <n v="2.99"/>
    <n v="29.900000000000002"/>
    <m/>
    <x v="0"/>
    <n v="0"/>
    <n v="29.900000000000002"/>
    <s v=""/>
  </r>
  <r>
    <n v="24"/>
    <d v="2023-09-12T00:00:00"/>
    <x v="12"/>
    <s v="Pacote"/>
    <n v="1"/>
    <n v="1.1499999999999999"/>
    <n v="1.1499999999999999"/>
    <m/>
    <x v="0"/>
    <n v="0"/>
    <n v="1.1499999999999999"/>
    <s v=""/>
  </r>
  <r>
    <n v="24"/>
    <d v="2023-09-12T00:00:00"/>
    <x v="10"/>
    <s v="Maço"/>
    <n v="2"/>
    <n v="6.75"/>
    <n v="13.5"/>
    <m/>
    <x v="0"/>
    <n v="0"/>
    <n v="13.5"/>
    <s v=""/>
  </r>
  <r>
    <n v="24"/>
    <d v="2023-09-12T00:00:00"/>
    <x v="13"/>
    <s v="Kg"/>
    <n v="3"/>
    <n v="6.98"/>
    <n v="20.94"/>
    <m/>
    <x v="0"/>
    <n v="0"/>
    <n v="20.94"/>
    <s v=""/>
  </r>
  <r>
    <n v="24"/>
    <d v="2023-09-12T00:00:00"/>
    <x v="10"/>
    <s v="Maço"/>
    <n v="9"/>
    <n v="6.75"/>
    <n v="60.75"/>
    <m/>
    <x v="2"/>
    <n v="0"/>
    <n v="60.75"/>
    <n v="966.50999999999988"/>
  </r>
  <r>
    <n v="25"/>
    <d v="2023-09-13T00:00:00"/>
    <x v="14"/>
    <s v="Kg"/>
    <n v="18"/>
    <n v="3.99"/>
    <n v="71.820000000000007"/>
    <m/>
    <x v="0"/>
    <n v="0"/>
    <n v="71.820000000000007"/>
    <s v=""/>
  </r>
  <r>
    <n v="25"/>
    <d v="2023-09-13T00:00:00"/>
    <x v="15"/>
    <s v="Kg"/>
    <n v="50"/>
    <n v="4.28"/>
    <n v="214"/>
    <m/>
    <x v="0"/>
    <n v="0"/>
    <n v="214"/>
    <s v=""/>
  </r>
  <r>
    <n v="25"/>
    <d v="2023-09-13T00:00:00"/>
    <x v="1"/>
    <s v="Kg"/>
    <n v="100"/>
    <n v="2.4900000000000002"/>
    <n v="249.00000000000003"/>
    <m/>
    <x v="0"/>
    <n v="0"/>
    <n v="249.00000000000003"/>
    <s v=""/>
  </r>
  <r>
    <n v="25"/>
    <d v="2023-09-13T00:00:00"/>
    <x v="16"/>
    <s v="Pacote"/>
    <n v="12"/>
    <n v="1.99"/>
    <n v="23.88"/>
    <m/>
    <x v="0"/>
    <n v="0"/>
    <n v="23.88"/>
    <s v=""/>
  </r>
  <r>
    <n v="25"/>
    <d v="2023-09-13T00:00:00"/>
    <x v="8"/>
    <s v="Kg"/>
    <n v="10"/>
    <n v="15.9"/>
    <n v="159"/>
    <m/>
    <x v="0"/>
    <n v="0"/>
    <n v="159"/>
    <s v=""/>
  </r>
  <r>
    <n v="25"/>
    <d v="2023-09-13T00:00:00"/>
    <x v="17"/>
    <s v="Kg"/>
    <n v="24"/>
    <n v="23.9"/>
    <n v="573.59999999999991"/>
    <m/>
    <x v="0"/>
    <n v="0"/>
    <n v="573.59999999999991"/>
    <s v=""/>
  </r>
  <r>
    <n v="25"/>
    <d v="2023-09-13T00:00:00"/>
    <x v="6"/>
    <s v="Litro"/>
    <n v="133"/>
    <n v="2.39"/>
    <n v="317.87"/>
    <m/>
    <x v="0"/>
    <n v="0"/>
    <n v="317.87"/>
    <s v=""/>
  </r>
  <r>
    <n v="25"/>
    <d v="2023-09-13T00:00:00"/>
    <x v="0"/>
    <s v="Lata"/>
    <n v="90"/>
    <n v="2.19"/>
    <n v="197.1"/>
    <m/>
    <x v="0"/>
    <n v="0"/>
    <n v="197.1"/>
    <s v=""/>
  </r>
  <r>
    <n v="25"/>
    <d v="2023-09-13T00:00:00"/>
    <x v="1"/>
    <s v="Kg"/>
    <n v="24"/>
    <n v="2.4900000000000002"/>
    <n v="59.760000000000005"/>
    <m/>
    <x v="0"/>
    <n v="0"/>
    <n v="59.760000000000005"/>
    <s v=""/>
  </r>
  <r>
    <n v="25"/>
    <d v="2023-09-13T00:00:00"/>
    <x v="13"/>
    <s v="Kg"/>
    <n v="80"/>
    <n v="6.98"/>
    <n v="558.40000000000009"/>
    <m/>
    <x v="3"/>
    <n v="7"/>
    <n v="565.40000000000009"/>
    <n v="2431.4300000000003"/>
  </r>
  <r>
    <n v="26"/>
    <d v="2023-09-13T00:00:00"/>
    <x v="18"/>
    <s v="Pacote"/>
    <n v="7"/>
    <n v="0.79"/>
    <n v="5.53"/>
    <m/>
    <x v="0"/>
    <n v="0"/>
    <n v="5.53"/>
    <s v=""/>
  </r>
  <r>
    <n v="26"/>
    <d v="2023-09-13T00:00:00"/>
    <x v="14"/>
    <s v="Kg"/>
    <n v="2"/>
    <n v="3.99"/>
    <n v="7.98"/>
    <m/>
    <x v="2"/>
    <n v="0"/>
    <n v="7.98"/>
    <n v="13.510000000000002"/>
  </r>
  <r>
    <n v="27"/>
    <d v="2023-09-13T00:00:00"/>
    <x v="1"/>
    <s v="Kg"/>
    <n v="4"/>
    <n v="2.4900000000000002"/>
    <n v="9.9600000000000009"/>
    <m/>
    <x v="0"/>
    <n v="0"/>
    <n v="9.9600000000000009"/>
    <s v=""/>
  </r>
  <r>
    <n v="27"/>
    <d v="2023-09-13T00:00:00"/>
    <x v="9"/>
    <s v="Kg"/>
    <n v="3"/>
    <n v="5.82"/>
    <n v="17.46"/>
    <m/>
    <x v="0"/>
    <n v="0"/>
    <n v="17.46"/>
    <n v="55.980000000000004"/>
  </r>
  <r>
    <n v="27"/>
    <d v="2023-09-13T00:00:00"/>
    <x v="12"/>
    <s v="Pacote"/>
    <n v="2"/>
    <n v="1.1499999999999999"/>
    <n v="2.2999999999999998"/>
    <m/>
    <x v="0"/>
    <n v="0"/>
    <n v="2.2999999999999998"/>
    <s v=""/>
  </r>
  <r>
    <n v="27"/>
    <d v="2023-09-13T00:00:00"/>
    <x v="16"/>
    <s v="Pacote"/>
    <n v="3"/>
    <n v="1.99"/>
    <n v="5.97"/>
    <m/>
    <x v="0"/>
    <n v="0"/>
    <n v="5.97"/>
    <s v=""/>
  </r>
  <r>
    <n v="27"/>
    <d v="2023-09-13T00:00:00"/>
    <x v="19"/>
    <s v="Pacote"/>
    <n v="2"/>
    <n v="1.1499999999999999"/>
    <n v="2.2999999999999998"/>
    <m/>
    <x v="0"/>
    <n v="0"/>
    <n v="2.2999999999999998"/>
    <s v=""/>
  </r>
  <r>
    <n v="27"/>
    <d v="2023-09-13T00:00:00"/>
    <x v="7"/>
    <s v="Barra"/>
    <n v="1"/>
    <n v="4.99"/>
    <n v="4.99"/>
    <m/>
    <x v="0"/>
    <n v="0"/>
    <n v="4.99"/>
    <s v=""/>
  </r>
  <r>
    <n v="27"/>
    <d v="2023-09-13T00:00:00"/>
    <x v="3"/>
    <s v="Unidade"/>
    <n v="5"/>
    <n v="2.6"/>
    <n v="13"/>
    <m/>
    <x v="2"/>
    <n v="0"/>
    <n v="13"/>
    <n v="55.980000000000004"/>
  </r>
  <r>
    <n v="28"/>
    <d v="2023-09-13T00:00:00"/>
    <x v="10"/>
    <s v="Maço"/>
    <n v="1"/>
    <n v="6.75"/>
    <n v="6.75"/>
    <m/>
    <x v="0"/>
    <n v="0"/>
    <n v="6.75"/>
    <s v=""/>
  </r>
  <r>
    <n v="28"/>
    <d v="2023-09-13T00:00:00"/>
    <x v="15"/>
    <s v="Kg"/>
    <n v="2"/>
    <n v="4.28"/>
    <n v="8.56"/>
    <m/>
    <x v="0"/>
    <n v="0"/>
    <n v="8.56"/>
    <s v=""/>
  </r>
  <r>
    <n v="28"/>
    <d v="2023-09-13T00:00:00"/>
    <x v="20"/>
    <s v="Unidade"/>
    <n v="3"/>
    <n v="2.89"/>
    <n v="8.67"/>
    <m/>
    <x v="0"/>
    <n v="0"/>
    <n v="8.67"/>
    <s v=""/>
  </r>
  <r>
    <n v="28"/>
    <d v="2023-09-13T00:00:00"/>
    <x v="16"/>
    <s v="Pacote"/>
    <n v="1"/>
    <n v="1.99"/>
    <n v="1.99"/>
    <m/>
    <x v="0"/>
    <n v="0"/>
    <n v="1.99"/>
    <s v=""/>
  </r>
  <r>
    <n v="28"/>
    <d v="2023-09-13T00:00:00"/>
    <x v="6"/>
    <s v="Litro"/>
    <n v="1"/>
    <n v="2.39"/>
    <n v="2.39"/>
    <m/>
    <x v="4"/>
    <n v="10"/>
    <n v="12.39"/>
    <n v="38.36"/>
  </r>
  <r>
    <n v="29"/>
    <d v="2023-09-14T00:00:00"/>
    <x v="14"/>
    <s v="Kg"/>
    <n v="2"/>
    <n v="3.99"/>
    <n v="7.98"/>
    <m/>
    <x v="2"/>
    <n v="0"/>
    <n v="7.98"/>
    <n v="7.98"/>
  </r>
  <r>
    <n v="30"/>
    <d v="2023-09-15T00:00:00"/>
    <x v="0"/>
    <s v="Lata"/>
    <n v="12"/>
    <n v="2.19"/>
    <n v="26.28"/>
    <m/>
    <x v="2"/>
    <n v="0"/>
    <n v="26.28"/>
    <n v="26.28"/>
  </r>
  <r>
    <n v="31"/>
    <d v="2023-09-16T00:00:00"/>
    <x v="4"/>
    <s v="Garrafa"/>
    <n v="4"/>
    <n v="29.9"/>
    <n v="119.6"/>
    <m/>
    <x v="2"/>
    <n v="0"/>
    <n v="119.6"/>
    <s v=""/>
  </r>
  <r>
    <n v="31"/>
    <d v="2023-09-16T00:00:00"/>
    <x v="8"/>
    <s v="Kg"/>
    <n v="2"/>
    <n v="15.9"/>
    <n v="31.8"/>
    <m/>
    <x v="2"/>
    <n v="0"/>
    <n v="31.8"/>
    <s v=""/>
  </r>
  <r>
    <n v="31"/>
    <d v="2023-09-16T00:00:00"/>
    <x v="21"/>
    <s v="Kg"/>
    <n v="2"/>
    <n v="25.9"/>
    <n v="51.8"/>
    <m/>
    <x v="2"/>
    <n v="0"/>
    <n v="51.8"/>
    <n v="203.2"/>
  </r>
  <r>
    <n v="32"/>
    <d v="2023-09-16T00:00:00"/>
    <x v="0"/>
    <s v="Lata"/>
    <n v="5"/>
    <n v="2.19"/>
    <n v="10.95"/>
    <m/>
    <x v="2"/>
    <n v="0"/>
    <n v="10.95"/>
    <n v="10.9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15"/>
    <x v="0"/>
    <x v="0"/>
    <s v="Kg"/>
    <n v="6"/>
    <n v="2.4900000000000002"/>
    <n v="14.940000000000001"/>
    <m/>
    <x v="0"/>
    <n v="0"/>
    <n v="14.940000000000001"/>
    <s v=""/>
  </r>
  <r>
    <n v="15"/>
    <x v="0"/>
    <x v="1"/>
    <s v="Kg"/>
    <n v="2"/>
    <n v="4.5"/>
    <n v="9"/>
    <m/>
    <x v="0"/>
    <n v="0"/>
    <n v="9"/>
    <s v=""/>
  </r>
  <r>
    <n v="15"/>
    <x v="0"/>
    <x v="2"/>
    <s v="Kg"/>
    <n v="1"/>
    <n v="6.8"/>
    <n v="6.8"/>
    <m/>
    <x v="0"/>
    <n v="0"/>
    <n v="6.8"/>
    <s v=""/>
  </r>
  <r>
    <n v="15"/>
    <x v="0"/>
    <x v="3"/>
    <s v="Unidade"/>
    <n v="2"/>
    <n v="4.5"/>
    <n v="9"/>
    <m/>
    <x v="0"/>
    <n v="0"/>
    <n v="9"/>
    <s v=""/>
  </r>
  <r>
    <n v="15"/>
    <x v="0"/>
    <x v="4"/>
    <s v="Pacote"/>
    <n v="1"/>
    <n v="1.1499999999999999"/>
    <n v="1.1499999999999999"/>
    <m/>
    <x v="0"/>
    <n v="0"/>
    <n v="1.1499999999999999"/>
    <n v="40.89"/>
  </r>
  <r>
    <n v="14"/>
    <x v="0"/>
    <x v="0"/>
    <s v="Kg"/>
    <n v="10"/>
    <n v="2.4900000000000002"/>
    <n v="24.900000000000002"/>
    <m/>
    <x v="1"/>
    <n v="0"/>
    <n v="24.900000000000002"/>
    <s v=""/>
  </r>
  <r>
    <n v="14"/>
    <x v="0"/>
    <x v="5"/>
    <s v="Litro"/>
    <n v="5"/>
    <n v="1.49"/>
    <n v="7.45"/>
    <m/>
    <x v="1"/>
    <n v="10"/>
    <n v="17.45"/>
    <n v="42.35"/>
  </r>
  <r>
    <n v="13"/>
    <x v="0"/>
    <x v="6"/>
    <s v="Unidade"/>
    <n v="3"/>
    <n v="2.6"/>
    <n v="7.8000000000000007"/>
    <m/>
    <x v="0"/>
    <n v="0"/>
    <n v="7.8000000000000007"/>
    <n v="7.8000000000000007"/>
  </r>
  <r>
    <n v="12"/>
    <x v="1"/>
    <x v="7"/>
    <s v="Garrafa"/>
    <n v="7"/>
    <n v="29.9"/>
    <n v="209.29999999999998"/>
    <m/>
    <x v="2"/>
    <n v="0"/>
    <n v="209.29999999999998"/>
    <s v=""/>
  </r>
  <r>
    <n v="12"/>
    <x v="1"/>
    <x v="8"/>
    <s v="Garrafa"/>
    <n v="4"/>
    <n v="54.9"/>
    <n v="219.6"/>
    <m/>
    <x v="2"/>
    <n v="0"/>
    <n v="219.6"/>
    <s v=""/>
  </r>
  <r>
    <n v="12"/>
    <x v="1"/>
    <x v="9"/>
    <s v="Litro"/>
    <n v="12"/>
    <n v="2.39"/>
    <n v="28.68"/>
    <m/>
    <x v="2"/>
    <n v="0"/>
    <n v="28.68"/>
    <s v=""/>
  </r>
  <r>
    <n v="12"/>
    <x v="1"/>
    <x v="10"/>
    <s v="Barra"/>
    <n v="15"/>
    <n v="4.99"/>
    <n v="74.850000000000009"/>
    <m/>
    <x v="2"/>
    <n v="0"/>
    <n v="74.850000000000009"/>
    <s v=""/>
  </r>
  <r>
    <n v="12"/>
    <x v="1"/>
    <x v="11"/>
    <s v="Lata"/>
    <n v="100"/>
    <n v="2.19"/>
    <n v="219"/>
    <n v="0.05"/>
    <x v="2"/>
    <n v="0"/>
    <n v="208.04999999999998"/>
    <s v=""/>
  </r>
  <r>
    <n v="12"/>
    <x v="1"/>
    <x v="12"/>
    <s v="Kg"/>
    <n v="15"/>
    <n v="15.9"/>
    <n v="238.5"/>
    <m/>
    <x v="2"/>
    <n v="7"/>
    <n v="245.5"/>
    <n v="985.9799999999999"/>
  </r>
  <r>
    <n v="11"/>
    <x v="1"/>
    <x v="13"/>
    <s v="Kg"/>
    <n v="12"/>
    <n v="5.82"/>
    <n v="69.84"/>
    <m/>
    <x v="0"/>
    <n v="0"/>
    <n v="69.84"/>
    <n v="69.84"/>
  </r>
  <r>
    <n v="10"/>
    <x v="2"/>
    <x v="7"/>
    <s v="Garrafa"/>
    <n v="30"/>
    <n v="29.9"/>
    <n v="897"/>
    <n v="0.05"/>
    <x v="3"/>
    <n v="0"/>
    <n v="852.15"/>
    <s v=""/>
  </r>
  <r>
    <n v="10"/>
    <x v="2"/>
    <x v="14"/>
    <s v="Maço"/>
    <n v="13"/>
    <n v="6.75"/>
    <n v="87.75"/>
    <m/>
    <x v="3"/>
    <n v="12.8"/>
    <n v="100.55"/>
    <n v="952.69999999999993"/>
  </r>
  <r>
    <n v="9"/>
    <x v="2"/>
    <x v="15"/>
    <s v="Unidade"/>
    <n v="3"/>
    <n v="2.99"/>
    <n v="8.9700000000000006"/>
    <m/>
    <x v="3"/>
    <n v="0"/>
    <n v="8.9700000000000006"/>
    <s v=""/>
  </r>
  <r>
    <n v="9"/>
    <x v="2"/>
    <x v="4"/>
    <s v="Pacote"/>
    <n v="2"/>
    <n v="1.1499999999999999"/>
    <n v="2.2999999999999998"/>
    <m/>
    <x v="3"/>
    <n v="12.8"/>
    <n v="15.100000000000001"/>
    <n v="24.07"/>
  </r>
  <r>
    <n v="8"/>
    <x v="2"/>
    <x v="14"/>
    <s v="Maço"/>
    <n v="10"/>
    <n v="6.75"/>
    <n v="67.5"/>
    <m/>
    <x v="0"/>
    <n v="0"/>
    <n v="67.5"/>
    <n v="67.5"/>
  </r>
  <r>
    <n v="7"/>
    <x v="3"/>
    <x v="16"/>
    <s v="Kg"/>
    <n v="4"/>
    <n v="6.98"/>
    <n v="27.92"/>
    <m/>
    <x v="0"/>
    <n v="0"/>
    <n v="27.92"/>
    <n v="27.92"/>
  </r>
  <r>
    <n v="6"/>
    <x v="3"/>
    <x v="14"/>
    <s v="Maço"/>
    <n v="2"/>
    <n v="6.75"/>
    <n v="13.5"/>
    <m/>
    <x v="0"/>
    <n v="0"/>
    <n v="13.5"/>
    <n v="13.5"/>
  </r>
  <r>
    <n v="5"/>
    <x v="4"/>
    <x v="17"/>
    <s v="Kg"/>
    <n v="3"/>
    <n v="3.99"/>
    <n v="11.97"/>
    <m/>
    <x v="4"/>
    <n v="0"/>
    <n v="11.97"/>
    <s v=""/>
  </r>
  <r>
    <n v="5"/>
    <x v="4"/>
    <x v="18"/>
    <s v="Kg"/>
    <n v="5"/>
    <n v="4.28"/>
    <n v="21.400000000000002"/>
    <m/>
    <x v="4"/>
    <n v="0"/>
    <n v="21.400000000000002"/>
    <s v=""/>
  </r>
  <r>
    <n v="5"/>
    <x v="4"/>
    <x v="0"/>
    <s v="Kg"/>
    <n v="10"/>
    <n v="2.4900000000000002"/>
    <n v="24.900000000000002"/>
    <m/>
    <x v="4"/>
    <n v="0"/>
    <n v="24.900000000000002"/>
    <s v=""/>
  </r>
  <r>
    <n v="5"/>
    <x v="4"/>
    <x v="19"/>
    <s v="Pacote"/>
    <n v="5"/>
    <n v="1.99"/>
    <n v="9.9499999999999993"/>
    <m/>
    <x v="4"/>
    <n v="15"/>
    <n v="24.95"/>
    <n v="83.220000000000013"/>
  </r>
  <r>
    <n v="4"/>
    <x v="4"/>
    <x v="12"/>
    <s v="Kg"/>
    <n v="6"/>
    <n v="15.9"/>
    <n v="95.4"/>
    <m/>
    <x v="4"/>
    <n v="0"/>
    <n v="95.4"/>
    <s v=""/>
  </r>
  <r>
    <n v="4"/>
    <x v="4"/>
    <x v="20"/>
    <s v="Kg"/>
    <n v="3"/>
    <n v="23.9"/>
    <n v="71.699999999999989"/>
    <m/>
    <x v="4"/>
    <n v="15"/>
    <n v="86.699999999999989"/>
    <n v="182.1"/>
  </r>
  <r>
    <n v="3"/>
    <x v="4"/>
    <x v="9"/>
    <s v="Litro"/>
    <n v="10"/>
    <n v="2.39"/>
    <n v="23.900000000000002"/>
    <n v="0.02"/>
    <x v="0"/>
    <n v="0"/>
    <n v="23.422000000000001"/>
    <n v="23.422000000000001"/>
  </r>
  <r>
    <n v="2"/>
    <x v="5"/>
    <x v="11"/>
    <s v="Lata"/>
    <n v="40"/>
    <n v="2.19"/>
    <n v="87.6"/>
    <m/>
    <x v="1"/>
    <n v="0"/>
    <n v="87.6"/>
    <s v=""/>
  </r>
  <r>
    <n v="2"/>
    <x v="6"/>
    <x v="0"/>
    <s v="Kg"/>
    <n v="10"/>
    <n v="2.4900000000000002"/>
    <n v="24.900000000000002"/>
    <n v="0.03"/>
    <x v="1"/>
    <n v="10"/>
    <n v="34.153000000000006"/>
    <n v="121.753"/>
  </r>
  <r>
    <n v="1"/>
    <x v="6"/>
    <x v="16"/>
    <s v="Kg"/>
    <n v="5"/>
    <n v="6.98"/>
    <n v="34.900000000000006"/>
    <m/>
    <x v="2"/>
    <n v="0"/>
    <n v="34.900000000000006"/>
    <s v=""/>
  </r>
  <r>
    <n v="1"/>
    <x v="6"/>
    <x v="21"/>
    <s v="Pacote"/>
    <n v="2"/>
    <n v="0.79"/>
    <n v="1.58"/>
    <m/>
    <x v="0"/>
    <n v="0"/>
    <n v="1.58"/>
    <n v="36.48000000000000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2">
  <r>
    <n v="33"/>
    <x v="0"/>
    <x v="0"/>
    <s v="Kg"/>
    <n v="10"/>
    <n v="2.4900000000000002"/>
    <n v="24.900000000000002"/>
    <m/>
    <x v="0"/>
    <n v="0"/>
    <n v="24.900000000000002"/>
    <s v=""/>
  </r>
  <r>
    <n v="33"/>
    <x v="0"/>
    <x v="1"/>
    <s v="Kg"/>
    <n v="6"/>
    <n v="4.28"/>
    <n v="25.68"/>
    <m/>
    <x v="0"/>
    <n v="0"/>
    <n v="25.68"/>
    <s v=""/>
  </r>
  <r>
    <n v="33"/>
    <x v="0"/>
    <x v="2"/>
    <s v="Kg"/>
    <n v="3"/>
    <n v="3.99"/>
    <n v="11.97"/>
    <m/>
    <x v="0"/>
    <n v="0"/>
    <n v="11.97"/>
    <s v=""/>
  </r>
  <r>
    <n v="33"/>
    <x v="0"/>
    <x v="3"/>
    <s v="Unidade"/>
    <n v="2"/>
    <n v="2.99"/>
    <n v="5.98"/>
    <m/>
    <x v="0"/>
    <n v="0"/>
    <n v="5.98"/>
    <s v=""/>
  </r>
  <r>
    <n v="33"/>
    <x v="0"/>
    <x v="4"/>
    <s v="Barra"/>
    <n v="2"/>
    <n v="4.99"/>
    <n v="9.98"/>
    <m/>
    <x v="0"/>
    <n v="0"/>
    <n v="9.98"/>
    <s v=""/>
  </r>
  <r>
    <n v="33"/>
    <x v="0"/>
    <x v="5"/>
    <s v="Litro"/>
    <n v="4"/>
    <n v="2.39"/>
    <n v="9.56"/>
    <m/>
    <x v="0"/>
    <n v="0"/>
    <n v="9.56"/>
    <s v=""/>
  </r>
  <r>
    <n v="33"/>
    <x v="0"/>
    <x v="6"/>
    <s v="Litro"/>
    <n v="5"/>
    <n v="1.49"/>
    <n v="7.45"/>
    <m/>
    <x v="0"/>
    <n v="0"/>
    <n v="7.45"/>
    <s v=""/>
  </r>
  <r>
    <n v="33"/>
    <x v="0"/>
    <x v="7"/>
    <s v="Lata"/>
    <n v="10"/>
    <n v="2.19"/>
    <n v="21.9"/>
    <m/>
    <x v="0"/>
    <n v="0"/>
    <n v="21.9"/>
    <s v=""/>
  </r>
  <r>
    <n v="33"/>
    <x v="0"/>
    <x v="8"/>
    <s v="Kg"/>
    <n v="5"/>
    <n v="5.82"/>
    <n v="29.1"/>
    <m/>
    <x v="0"/>
    <n v="0"/>
    <n v="29.1"/>
    <s v=""/>
  </r>
  <r>
    <n v="33"/>
    <x v="0"/>
    <x v="9"/>
    <s v="Kg"/>
    <n v="2"/>
    <n v="9.58"/>
    <n v="19.16"/>
    <m/>
    <x v="0"/>
    <n v="0"/>
    <n v="19.16"/>
    <s v=""/>
  </r>
  <r>
    <n v="33"/>
    <x v="0"/>
    <x v="10"/>
    <s v="Kg"/>
    <n v="8"/>
    <n v="15.9"/>
    <n v="127.2"/>
    <m/>
    <x v="0"/>
    <n v="0"/>
    <n v="127.2"/>
    <s v=""/>
  </r>
  <r>
    <n v="33"/>
    <x v="0"/>
    <x v="11"/>
    <s v="Unidade"/>
    <n v="2"/>
    <n v="2.89"/>
    <n v="5.78"/>
    <m/>
    <x v="0"/>
    <n v="0"/>
    <n v="5.78"/>
    <s v=""/>
  </r>
  <r>
    <n v="33"/>
    <x v="0"/>
    <x v="12"/>
    <s v="Kg"/>
    <n v="5"/>
    <n v="6.98"/>
    <n v="34.900000000000006"/>
    <m/>
    <x v="0"/>
    <n v="0"/>
    <n v="34.900000000000006"/>
    <s v=""/>
  </r>
  <r>
    <n v="33"/>
    <x v="0"/>
    <x v="13"/>
    <s v="Kg"/>
    <n v="1"/>
    <n v="25.9"/>
    <n v="25.9"/>
    <m/>
    <x v="0"/>
    <n v="0"/>
    <n v="25.9"/>
    <s v=""/>
  </r>
  <r>
    <n v="33"/>
    <x v="0"/>
    <x v="14"/>
    <s v="Unidade"/>
    <n v="2"/>
    <n v="2.6"/>
    <n v="5.2"/>
    <m/>
    <x v="0"/>
    <n v="0"/>
    <n v="5.2"/>
    <s v=""/>
  </r>
  <r>
    <n v="33"/>
    <x v="0"/>
    <x v="15"/>
    <s v="Kg"/>
    <n v="4"/>
    <n v="23.9"/>
    <n v="95.6"/>
    <m/>
    <x v="0"/>
    <n v="0"/>
    <n v="95.6"/>
    <s v=""/>
  </r>
  <r>
    <n v="33"/>
    <x v="0"/>
    <x v="16"/>
    <s v="Pacote"/>
    <n v="2"/>
    <n v="1.99"/>
    <n v="3.98"/>
    <m/>
    <x v="0"/>
    <n v="0"/>
    <n v="3.98"/>
    <s v=""/>
  </r>
  <r>
    <n v="33"/>
    <x v="0"/>
    <x v="17"/>
    <s v="Pacote"/>
    <n v="1"/>
    <n v="1.1499999999999999"/>
    <n v="1.1499999999999999"/>
    <m/>
    <x v="0"/>
    <n v="0"/>
    <n v="1.1499999999999999"/>
    <s v=""/>
  </r>
  <r>
    <n v="33"/>
    <x v="0"/>
    <x v="18"/>
    <s v="Pacote"/>
    <n v="1"/>
    <n v="1.1499999999999999"/>
    <n v="1.1499999999999999"/>
    <m/>
    <x v="0"/>
    <n v="0"/>
    <n v="1.1499999999999999"/>
    <s v=""/>
  </r>
  <r>
    <n v="33"/>
    <x v="0"/>
    <x v="19"/>
    <s v="Kg"/>
    <n v="4"/>
    <n v="7"/>
    <n v="28"/>
    <m/>
    <x v="0"/>
    <n v="0"/>
    <n v="28"/>
    <s v=""/>
  </r>
  <r>
    <n v="33"/>
    <x v="0"/>
    <x v="20"/>
    <s v="Kg"/>
    <n v="2"/>
    <n v="4.5"/>
    <n v="9"/>
    <m/>
    <x v="0"/>
    <n v="0"/>
    <n v="9"/>
    <s v=""/>
  </r>
  <r>
    <n v="33"/>
    <x v="0"/>
    <x v="21"/>
    <s v="Kg"/>
    <n v="1"/>
    <n v="6.8"/>
    <n v="6.8"/>
    <m/>
    <x v="0"/>
    <n v="0"/>
    <n v="6.8"/>
    <n v="510.33999999999986"/>
  </r>
  <r>
    <n v="34"/>
    <x v="0"/>
    <x v="5"/>
    <s v="Litro"/>
    <n v="100"/>
    <n v="2.39"/>
    <n v="239"/>
    <m/>
    <x v="1"/>
    <n v="0"/>
    <n v="239"/>
    <s v=""/>
  </r>
  <r>
    <n v="34"/>
    <x v="0"/>
    <x v="22"/>
    <s v="Litro"/>
    <n v="60"/>
    <n v="3.45"/>
    <n v="207"/>
    <m/>
    <x v="1"/>
    <n v="0"/>
    <n v="207"/>
    <s v=""/>
  </r>
  <r>
    <n v="34"/>
    <x v="0"/>
    <x v="23"/>
    <s v="Garrafa"/>
    <n v="25"/>
    <n v="29.9"/>
    <n v="747.5"/>
    <m/>
    <x v="1"/>
    <n v="0"/>
    <n v="747.5"/>
    <s v=""/>
  </r>
  <r>
    <n v="34"/>
    <x v="0"/>
    <x v="7"/>
    <s v="Lata"/>
    <n v="180"/>
    <n v="2.19"/>
    <n v="394.2"/>
    <m/>
    <x v="1"/>
    <n v="0"/>
    <n v="394.2"/>
    <s v=""/>
  </r>
  <r>
    <n v="34"/>
    <x v="0"/>
    <x v="24"/>
    <s v="Garrafa"/>
    <n v="15"/>
    <n v="54.9"/>
    <n v="823.5"/>
    <m/>
    <x v="1"/>
    <n v="0"/>
    <n v="823.5"/>
    <s v=""/>
  </r>
  <r>
    <n v="34"/>
    <x v="0"/>
    <x v="6"/>
    <s v="Litro"/>
    <n v="25"/>
    <n v="1.49"/>
    <n v="37.25"/>
    <m/>
    <x v="1"/>
    <n v="12.8"/>
    <n v="50.05"/>
    <n v="2461.25"/>
  </r>
  <r>
    <n v="35"/>
    <x v="0"/>
    <x v="3"/>
    <s v="Unidade"/>
    <n v="2"/>
    <n v="2.99"/>
    <n v="5.98"/>
    <m/>
    <x v="2"/>
    <n v="0"/>
    <n v="5.98"/>
    <s v=""/>
  </r>
  <r>
    <n v="35"/>
    <x v="0"/>
    <x v="25"/>
    <s v="Kg"/>
    <n v="3"/>
    <n v="12"/>
    <n v="36"/>
    <m/>
    <x v="2"/>
    <n v="0"/>
    <n v="36"/>
    <s v=""/>
  </r>
  <r>
    <n v="35"/>
    <x v="0"/>
    <x v="26"/>
    <s v="Unidade"/>
    <n v="1"/>
    <n v="7"/>
    <n v="7"/>
    <m/>
    <x v="2"/>
    <n v="10"/>
    <n v="17"/>
    <n v="58.980000000000004"/>
  </r>
  <r>
    <n v="36"/>
    <x v="1"/>
    <x v="2"/>
    <s v="Kg"/>
    <n v="3"/>
    <n v="3.99"/>
    <n v="11.97"/>
    <m/>
    <x v="3"/>
    <n v="0"/>
    <n v="11.97"/>
    <s v=""/>
  </r>
  <r>
    <n v="36"/>
    <x v="1"/>
    <x v="3"/>
    <s v="Unidade"/>
    <n v="2"/>
    <n v="2.99"/>
    <n v="5.98"/>
    <m/>
    <x v="3"/>
    <n v="0"/>
    <n v="5.98"/>
    <s v=""/>
  </r>
  <r>
    <n v="36"/>
    <x v="1"/>
    <x v="27"/>
    <s v="Kg"/>
    <n v="3"/>
    <n v="2.9"/>
    <n v="8.6999999999999993"/>
    <m/>
    <x v="3"/>
    <n v="0"/>
    <n v="8.6999999999999993"/>
    <s v=""/>
  </r>
  <r>
    <n v="36"/>
    <x v="1"/>
    <x v="8"/>
    <s v="Kg"/>
    <n v="7"/>
    <n v="5.82"/>
    <n v="40.74"/>
    <m/>
    <x v="3"/>
    <n v="0"/>
    <n v="40.74"/>
    <s v=""/>
  </r>
  <r>
    <n v="36"/>
    <x v="1"/>
    <x v="28"/>
    <s v="Kg"/>
    <n v="2"/>
    <n v="7"/>
    <n v="14"/>
    <m/>
    <x v="3"/>
    <n v="0"/>
    <n v="14"/>
    <s v=""/>
  </r>
  <r>
    <n v="36"/>
    <x v="1"/>
    <x v="29"/>
    <s v="Kg"/>
    <n v="1"/>
    <n v="5"/>
    <n v="5"/>
    <m/>
    <x v="3"/>
    <n v="0"/>
    <n v="5"/>
    <s v=""/>
  </r>
  <r>
    <n v="36"/>
    <x v="1"/>
    <x v="0"/>
    <s v="Kg"/>
    <n v="10"/>
    <n v="2.4900000000000002"/>
    <n v="24.900000000000002"/>
    <m/>
    <x v="3"/>
    <n v="0"/>
    <n v="24.900000000000002"/>
    <s v=""/>
  </r>
  <r>
    <n v="36"/>
    <x v="1"/>
    <x v="1"/>
    <s v="Kg"/>
    <n v="4"/>
    <n v="4.28"/>
    <n v="17.12"/>
    <m/>
    <x v="3"/>
    <n v="0"/>
    <n v="17.12"/>
    <s v=""/>
  </r>
  <r>
    <n v="36"/>
    <x v="1"/>
    <x v="30"/>
    <s v="Kg"/>
    <n v="1"/>
    <n v="3"/>
    <n v="3"/>
    <m/>
    <x v="3"/>
    <n v="0"/>
    <n v="3"/>
    <s v=""/>
  </r>
  <r>
    <n v="36"/>
    <x v="1"/>
    <x v="21"/>
    <s v="Kg"/>
    <n v="0.5"/>
    <n v="6.8"/>
    <n v="3.4"/>
    <m/>
    <x v="3"/>
    <n v="0"/>
    <n v="3.4"/>
    <s v=""/>
  </r>
  <r>
    <n v="36"/>
    <x v="1"/>
    <x v="20"/>
    <s v="Kg"/>
    <n v="1"/>
    <n v="4.5"/>
    <n v="4.5"/>
    <m/>
    <x v="3"/>
    <n v="0"/>
    <n v="4.5"/>
    <s v=""/>
  </r>
  <r>
    <n v="36"/>
    <x v="1"/>
    <x v="6"/>
    <s v="Litro"/>
    <n v="2"/>
    <n v="1.49"/>
    <n v="2.98"/>
    <m/>
    <x v="3"/>
    <n v="0"/>
    <n v="2.98"/>
    <s v=""/>
  </r>
  <r>
    <n v="36"/>
    <x v="1"/>
    <x v="31"/>
    <s v="Unidade"/>
    <n v="2"/>
    <n v="10"/>
    <n v="20"/>
    <m/>
    <x v="3"/>
    <n v="7"/>
    <n v="27"/>
    <n v="169.29"/>
  </r>
  <r>
    <n v="37"/>
    <x v="1"/>
    <x v="7"/>
    <s v="Lata"/>
    <n v="100"/>
    <n v="2.19"/>
    <n v="219"/>
    <m/>
    <x v="0"/>
    <n v="0"/>
    <n v="219"/>
    <s v=""/>
  </r>
  <r>
    <n v="37"/>
    <x v="1"/>
    <x v="10"/>
    <s v="Kg"/>
    <n v="20"/>
    <n v="15.9"/>
    <n v="318"/>
    <m/>
    <x v="0"/>
    <n v="0"/>
    <n v="318"/>
    <s v=""/>
  </r>
  <r>
    <n v="37"/>
    <x v="1"/>
    <x v="24"/>
    <s v="Garrafa"/>
    <n v="10"/>
    <n v="54.9"/>
    <n v="549"/>
    <m/>
    <x v="0"/>
    <n v="0"/>
    <n v="549"/>
    <n v="1086"/>
  </r>
  <r>
    <n v="38"/>
    <x v="1"/>
    <x v="20"/>
    <s v="Kg"/>
    <n v="2"/>
    <n v="4.5"/>
    <n v="9"/>
    <m/>
    <x v="2"/>
    <n v="0"/>
    <n v="9"/>
    <s v=""/>
  </r>
  <r>
    <n v="38"/>
    <x v="1"/>
    <x v="32"/>
    <s v="Kg"/>
    <n v="5"/>
    <n v="4"/>
    <n v="20"/>
    <m/>
    <x v="2"/>
    <n v="0"/>
    <n v="20"/>
    <s v=""/>
  </r>
  <r>
    <n v="38"/>
    <x v="1"/>
    <x v="0"/>
    <s v="Kg"/>
    <n v="10"/>
    <n v="2.4900000000000002"/>
    <n v="24.900000000000002"/>
    <m/>
    <x v="2"/>
    <n v="0"/>
    <n v="24.900000000000002"/>
    <s v=""/>
  </r>
  <r>
    <n v="38"/>
    <x v="1"/>
    <x v="1"/>
    <s v="Kg"/>
    <n v="3"/>
    <n v="4.28"/>
    <n v="12.84"/>
    <m/>
    <x v="2"/>
    <n v="0"/>
    <n v="12.84"/>
    <s v=""/>
  </r>
  <r>
    <n v="38"/>
    <x v="1"/>
    <x v="8"/>
    <s v="Kg"/>
    <n v="10"/>
    <n v="5.82"/>
    <n v="58.2"/>
    <m/>
    <x v="2"/>
    <n v="0"/>
    <n v="58.2"/>
    <s v=""/>
  </r>
  <r>
    <n v="38"/>
    <x v="1"/>
    <x v="3"/>
    <s v="Unidade"/>
    <n v="2"/>
    <n v="2.99"/>
    <n v="5.98"/>
    <m/>
    <x v="2"/>
    <n v="0"/>
    <n v="5.98"/>
    <s v=""/>
  </r>
  <r>
    <n v="38"/>
    <x v="1"/>
    <x v="22"/>
    <s v="Litro"/>
    <n v="2"/>
    <n v="3.45"/>
    <n v="6.9"/>
    <m/>
    <x v="2"/>
    <n v="0"/>
    <n v="6.9"/>
    <s v=""/>
  </r>
  <r>
    <n v="38"/>
    <x v="1"/>
    <x v="9"/>
    <s v="Kg"/>
    <n v="2"/>
    <n v="9.58"/>
    <n v="19.16"/>
    <m/>
    <x v="2"/>
    <n v="0"/>
    <n v="19.16"/>
    <s v=""/>
  </r>
  <r>
    <n v="38"/>
    <x v="1"/>
    <x v="27"/>
    <s v="Kg"/>
    <n v="2"/>
    <n v="2.9"/>
    <n v="5.8"/>
    <m/>
    <x v="2"/>
    <n v="10"/>
    <n v="15.8"/>
    <n v="172.78000000000003"/>
  </r>
  <r>
    <n v="39"/>
    <x v="1"/>
    <x v="6"/>
    <s v="Litro"/>
    <n v="2"/>
    <n v="1.49"/>
    <n v="2.98"/>
    <m/>
    <x v="0"/>
    <n v="0"/>
    <n v="2.98"/>
    <s v=""/>
  </r>
  <r>
    <n v="39"/>
    <x v="1"/>
    <x v="32"/>
    <s v="Kg"/>
    <n v="5"/>
    <n v="4"/>
    <n v="20"/>
    <m/>
    <x v="0"/>
    <n v="0"/>
    <n v="20"/>
    <s v=""/>
  </r>
  <r>
    <n v="39"/>
    <x v="1"/>
    <x v="13"/>
    <s v="Kg"/>
    <n v="1"/>
    <n v="25.9"/>
    <n v="25.9"/>
    <m/>
    <x v="0"/>
    <n v="0"/>
    <n v="25.9"/>
    <s v=""/>
  </r>
  <r>
    <n v="39"/>
    <x v="1"/>
    <x v="8"/>
    <s v="Kg"/>
    <n v="5"/>
    <n v="5.82"/>
    <n v="29.1"/>
    <m/>
    <x v="0"/>
    <n v="0"/>
    <n v="29.1"/>
    <s v=""/>
  </r>
  <r>
    <n v="39"/>
    <x v="1"/>
    <x v="10"/>
    <s v="Kg"/>
    <n v="2"/>
    <n v="15.9"/>
    <n v="31.8"/>
    <m/>
    <x v="0"/>
    <n v="0"/>
    <n v="31.8"/>
    <n v="109.77999999999999"/>
  </r>
  <r>
    <n v="40"/>
    <x v="2"/>
    <x v="0"/>
    <s v="Kg"/>
    <n v="5"/>
    <n v="2.4900000000000002"/>
    <n v="12.450000000000001"/>
    <m/>
    <x v="0"/>
    <n v="0"/>
    <n v="12.450000000000001"/>
    <s v=""/>
  </r>
  <r>
    <n v="40"/>
    <x v="2"/>
    <x v="1"/>
    <s v="Kg"/>
    <n v="2"/>
    <n v="4.28"/>
    <n v="8.56"/>
    <m/>
    <x v="0"/>
    <n v="0"/>
    <n v="8.56"/>
    <s v=""/>
  </r>
  <r>
    <n v="40"/>
    <x v="2"/>
    <x v="2"/>
    <s v="Kg"/>
    <n v="2"/>
    <n v="3.99"/>
    <n v="7.98"/>
    <m/>
    <x v="0"/>
    <n v="0"/>
    <n v="7.98"/>
    <s v=""/>
  </r>
  <r>
    <n v="40"/>
    <x v="2"/>
    <x v="32"/>
    <s v="Kg"/>
    <n v="3"/>
    <n v="4"/>
    <n v="12"/>
    <m/>
    <x v="0"/>
    <n v="0"/>
    <n v="12"/>
    <s v=""/>
  </r>
  <r>
    <n v="40"/>
    <x v="2"/>
    <x v="10"/>
    <s v="Kg"/>
    <n v="5"/>
    <n v="15.9"/>
    <n v="79.5"/>
    <m/>
    <x v="0"/>
    <n v="0"/>
    <n v="79.5"/>
    <s v=""/>
  </r>
  <r>
    <n v="40"/>
    <x v="2"/>
    <x v="12"/>
    <s v="Kg"/>
    <n v="2"/>
    <n v="6.98"/>
    <n v="13.96"/>
    <m/>
    <x v="0"/>
    <n v="0"/>
    <n v="13.96"/>
    <s v=""/>
  </r>
  <r>
    <n v="40"/>
    <x v="2"/>
    <x v="28"/>
    <s v="Kg"/>
    <n v="1"/>
    <n v="7"/>
    <n v="7"/>
    <m/>
    <x v="0"/>
    <n v="0"/>
    <n v="7"/>
    <s v=""/>
  </r>
  <r>
    <n v="40"/>
    <x v="2"/>
    <x v="3"/>
    <s v="Unidade"/>
    <n v="1"/>
    <n v="2.99"/>
    <n v="2.99"/>
    <m/>
    <x v="0"/>
    <n v="0"/>
    <n v="2.99"/>
    <s v=""/>
  </r>
  <r>
    <n v="40"/>
    <x v="2"/>
    <x v="8"/>
    <s v="Kg"/>
    <n v="2.5"/>
    <n v="5.82"/>
    <n v="14.55"/>
    <m/>
    <x v="0"/>
    <n v="0"/>
    <n v="14.55"/>
    <s v=""/>
  </r>
  <r>
    <n v="40"/>
    <x v="2"/>
    <x v="11"/>
    <s v="Unidade"/>
    <n v="1"/>
    <n v="2.89"/>
    <n v="2.89"/>
    <m/>
    <x v="0"/>
    <n v="0"/>
    <n v="2.89"/>
    <s v=""/>
  </r>
  <r>
    <n v="40"/>
    <x v="2"/>
    <x v="15"/>
    <s v="Kg"/>
    <n v="0.8"/>
    <n v="23.9"/>
    <n v="19.12"/>
    <m/>
    <x v="0"/>
    <n v="0"/>
    <n v="19.12"/>
    <s v=""/>
  </r>
  <r>
    <n v="40"/>
    <x v="2"/>
    <x v="5"/>
    <s v="Litro"/>
    <n v="3"/>
    <n v="2.39"/>
    <n v="7.17"/>
    <m/>
    <x v="0"/>
    <n v="0"/>
    <n v="7.17"/>
    <s v=""/>
  </r>
  <r>
    <n v="40"/>
    <x v="2"/>
    <x v="26"/>
    <s v="Unidade"/>
    <n v="1"/>
    <n v="7"/>
    <n v="7"/>
    <m/>
    <x v="0"/>
    <n v="0"/>
    <n v="7"/>
    <s v=""/>
  </r>
  <r>
    <n v="40"/>
    <x v="2"/>
    <x v="27"/>
    <s v="Kg"/>
    <n v="2"/>
    <n v="2.9"/>
    <n v="5.8"/>
    <m/>
    <x v="0"/>
    <n v="0"/>
    <n v="5.8"/>
    <s v=""/>
  </r>
  <r>
    <n v="40"/>
    <x v="2"/>
    <x v="9"/>
    <s v="Kg"/>
    <n v="0.5"/>
    <n v="9.58"/>
    <n v="4.79"/>
    <m/>
    <x v="0"/>
    <n v="0"/>
    <n v="4.79"/>
    <s v=""/>
  </r>
  <r>
    <n v="40"/>
    <x v="2"/>
    <x v="33"/>
    <s v="Kg"/>
    <n v="2.5"/>
    <n v="10"/>
    <n v="25"/>
    <m/>
    <x v="0"/>
    <n v="0"/>
    <n v="25"/>
    <s v=""/>
  </r>
  <r>
    <n v="40"/>
    <x v="2"/>
    <x v="34"/>
    <s v="Kg"/>
    <n v="0.3"/>
    <n v="3"/>
    <n v="0.89999999999999991"/>
    <m/>
    <x v="0"/>
    <n v="0"/>
    <n v="0.89999999999999991"/>
    <n v="231.66000000000003"/>
  </r>
  <r>
    <n v="41"/>
    <x v="2"/>
    <x v="35"/>
    <s v="Kg"/>
    <n v="8"/>
    <n v="8"/>
    <n v="64"/>
    <m/>
    <x v="3"/>
    <n v="0"/>
    <n v="64"/>
    <s v=""/>
  </r>
  <r>
    <n v="41"/>
    <x v="2"/>
    <x v="36"/>
    <s v="Unidade"/>
    <n v="2"/>
    <n v="18.899999999999999"/>
    <n v="37.799999999999997"/>
    <m/>
    <x v="3"/>
    <n v="0"/>
    <n v="37.799999999999997"/>
    <s v=""/>
  </r>
  <r>
    <n v="41"/>
    <x v="2"/>
    <x v="33"/>
    <s v="Kg"/>
    <n v="3"/>
    <n v="10"/>
    <n v="30"/>
    <m/>
    <x v="3"/>
    <n v="0"/>
    <n v="30"/>
    <s v=""/>
  </r>
  <r>
    <n v="41"/>
    <x v="2"/>
    <x v="37"/>
    <s v="Kg"/>
    <n v="7"/>
    <n v="7.8"/>
    <n v="54.6"/>
    <m/>
    <x v="3"/>
    <n v="0"/>
    <n v="54.6"/>
    <s v=""/>
  </r>
  <r>
    <n v="41"/>
    <x v="2"/>
    <x v="25"/>
    <s v="Kg"/>
    <n v="5"/>
    <n v="12"/>
    <n v="60"/>
    <m/>
    <x v="3"/>
    <n v="7"/>
    <n v="67"/>
    <n v="253.4"/>
  </r>
  <r>
    <n v="42"/>
    <x v="2"/>
    <x v="20"/>
    <s v="Kg"/>
    <n v="2"/>
    <n v="4.5"/>
    <n v="9"/>
    <m/>
    <x v="0"/>
    <n v="0"/>
    <n v="9"/>
    <s v=""/>
  </r>
  <r>
    <n v="42"/>
    <x v="2"/>
    <x v="8"/>
    <s v="Kg"/>
    <n v="3"/>
    <n v="5.82"/>
    <n v="17.46"/>
    <m/>
    <x v="0"/>
    <n v="0"/>
    <n v="17.46"/>
    <s v=""/>
  </r>
  <r>
    <n v="42"/>
    <x v="2"/>
    <x v="0"/>
    <s v="Kg"/>
    <n v="10"/>
    <n v="2.4900000000000002"/>
    <n v="24.900000000000002"/>
    <m/>
    <x v="0"/>
    <n v="0"/>
    <n v="24.900000000000002"/>
    <s v=""/>
  </r>
  <r>
    <n v="42"/>
    <x v="2"/>
    <x v="1"/>
    <s v="Kg"/>
    <n v="4"/>
    <n v="4.28"/>
    <n v="17.12"/>
    <m/>
    <x v="0"/>
    <n v="0"/>
    <n v="17.12"/>
    <s v=""/>
  </r>
  <r>
    <n v="42"/>
    <x v="2"/>
    <x v="38"/>
    <s v="Kg"/>
    <n v="2"/>
    <n v="6.9"/>
    <n v="13.8"/>
    <m/>
    <x v="0"/>
    <n v="0"/>
    <n v="13.8"/>
    <s v=""/>
  </r>
  <r>
    <n v="42"/>
    <x v="2"/>
    <x v="2"/>
    <s v="Kg"/>
    <n v="2"/>
    <n v="3.99"/>
    <n v="7.98"/>
    <m/>
    <x v="0"/>
    <n v="0"/>
    <n v="7.98"/>
    <s v=""/>
  </r>
  <r>
    <n v="42"/>
    <x v="2"/>
    <x v="7"/>
    <s v="Lata"/>
    <n v="15"/>
    <n v="2.19"/>
    <n v="32.85"/>
    <m/>
    <x v="0"/>
    <n v="0"/>
    <n v="32.85"/>
    <s v=""/>
  </r>
  <r>
    <n v="42"/>
    <x v="2"/>
    <x v="22"/>
    <s v="Litro"/>
    <n v="3"/>
    <n v="3.45"/>
    <n v="10.350000000000001"/>
    <m/>
    <x v="0"/>
    <n v="0"/>
    <n v="10.350000000000001"/>
    <n v="133.46"/>
  </r>
  <r>
    <n v="43"/>
    <x v="2"/>
    <x v="5"/>
    <s v="Litro"/>
    <n v="100"/>
    <n v="2.39"/>
    <n v="239"/>
    <m/>
    <x v="4"/>
    <n v="0"/>
    <n v="239"/>
    <s v=""/>
  </r>
  <r>
    <n v="43"/>
    <x v="2"/>
    <x v="23"/>
    <s v="Garrafa"/>
    <n v="50"/>
    <n v="29.9"/>
    <n v="1495"/>
    <m/>
    <x v="4"/>
    <n v="15"/>
    <n v="1510"/>
    <n v="1749"/>
  </r>
  <r>
    <n v="44"/>
    <x v="2"/>
    <x v="0"/>
    <s v="Kg"/>
    <n v="15"/>
    <n v="2.4900000000000002"/>
    <n v="37.35"/>
    <m/>
    <x v="2"/>
    <n v="0"/>
    <n v="37.35"/>
    <s v=""/>
  </r>
  <r>
    <n v="44"/>
    <x v="2"/>
    <x v="1"/>
    <s v="Kg"/>
    <n v="7"/>
    <n v="4.28"/>
    <n v="29.96"/>
    <m/>
    <x v="2"/>
    <n v="0"/>
    <n v="29.96"/>
    <s v=""/>
  </r>
  <r>
    <n v="44"/>
    <x v="2"/>
    <x v="2"/>
    <s v="Kg"/>
    <n v="3"/>
    <n v="3.99"/>
    <n v="11.97"/>
    <m/>
    <x v="2"/>
    <n v="0"/>
    <n v="11.97"/>
    <s v=""/>
  </r>
  <r>
    <n v="44"/>
    <x v="2"/>
    <x v="38"/>
    <s v="Kg"/>
    <n v="2"/>
    <n v="6.9"/>
    <n v="13.8"/>
    <m/>
    <x v="2"/>
    <n v="0"/>
    <n v="13.8"/>
    <s v=""/>
  </r>
  <r>
    <n v="44"/>
    <x v="2"/>
    <x v="17"/>
    <s v="Pacote"/>
    <n v="1"/>
    <n v="1.1499999999999999"/>
    <n v="1.1499999999999999"/>
    <m/>
    <x v="2"/>
    <n v="0"/>
    <n v="1.1499999999999999"/>
    <s v=""/>
  </r>
  <r>
    <n v="44"/>
    <x v="2"/>
    <x v="30"/>
    <s v="Kg"/>
    <n v="2.5"/>
    <n v="3"/>
    <n v="7.5"/>
    <m/>
    <x v="2"/>
    <n v="0"/>
    <n v="7.5"/>
    <s v=""/>
  </r>
  <r>
    <n v="44"/>
    <x v="2"/>
    <x v="21"/>
    <s v="Kg"/>
    <n v="1.8"/>
    <n v="6.8"/>
    <n v="12.24"/>
    <m/>
    <x v="2"/>
    <n v="0"/>
    <n v="12.24"/>
    <s v=""/>
  </r>
  <r>
    <n v="44"/>
    <x v="2"/>
    <x v="19"/>
    <s v="Kg"/>
    <n v="3"/>
    <n v="7"/>
    <n v="21"/>
    <m/>
    <x v="2"/>
    <n v="0"/>
    <n v="21"/>
    <s v=""/>
  </r>
  <r>
    <n v="44"/>
    <x v="2"/>
    <x v="20"/>
    <s v="Kg"/>
    <n v="2.7"/>
    <n v="4.5"/>
    <n v="12.15"/>
    <m/>
    <x v="2"/>
    <n v="0"/>
    <n v="12.15"/>
    <s v=""/>
  </r>
  <r>
    <n v="44"/>
    <x v="2"/>
    <x v="36"/>
    <s v="Unidade"/>
    <n v="1"/>
    <n v="18.899999999999999"/>
    <n v="18.899999999999999"/>
    <m/>
    <x v="2"/>
    <n v="0"/>
    <n v="18.899999999999999"/>
    <s v=""/>
  </r>
  <r>
    <n v="44"/>
    <x v="2"/>
    <x v="37"/>
    <s v="Kg"/>
    <n v="2"/>
    <n v="7.8"/>
    <n v="15.6"/>
    <m/>
    <x v="2"/>
    <n v="0"/>
    <n v="15.6"/>
    <s v=""/>
  </r>
  <r>
    <n v="44"/>
    <x v="2"/>
    <x v="13"/>
    <s v="Kg"/>
    <n v="1"/>
    <n v="25.9"/>
    <n v="25.9"/>
    <m/>
    <x v="2"/>
    <n v="0"/>
    <n v="25.9"/>
    <s v=""/>
  </r>
  <r>
    <n v="44"/>
    <x v="2"/>
    <x v="5"/>
    <s v="Litro"/>
    <n v="5"/>
    <n v="2.39"/>
    <n v="11.950000000000001"/>
    <m/>
    <x v="2"/>
    <n v="0"/>
    <n v="11.950000000000001"/>
    <s v=""/>
  </r>
  <r>
    <n v="44"/>
    <x v="2"/>
    <x v="26"/>
    <s v="Unidade"/>
    <n v="1"/>
    <n v="7"/>
    <n v="7"/>
    <m/>
    <x v="2"/>
    <n v="0"/>
    <n v="7"/>
    <s v=""/>
  </r>
  <r>
    <n v="44"/>
    <x v="2"/>
    <x v="27"/>
    <s v="Kg"/>
    <n v="2"/>
    <n v="2.9"/>
    <n v="5.8"/>
    <m/>
    <x v="2"/>
    <n v="0"/>
    <n v="5.8"/>
    <s v=""/>
  </r>
  <r>
    <n v="44"/>
    <x v="2"/>
    <x v="8"/>
    <s v="Kg"/>
    <n v="5.5"/>
    <n v="5.82"/>
    <n v="32.010000000000005"/>
    <m/>
    <x v="2"/>
    <n v="0"/>
    <n v="32.010000000000005"/>
    <s v=""/>
  </r>
  <r>
    <n v="44"/>
    <x v="2"/>
    <x v="28"/>
    <s v="Kg"/>
    <n v="1"/>
    <n v="7"/>
    <n v="7"/>
    <m/>
    <x v="2"/>
    <n v="0"/>
    <n v="7"/>
    <s v=""/>
  </r>
  <r>
    <n v="44"/>
    <x v="2"/>
    <x v="35"/>
    <s v="Kg"/>
    <n v="0.8"/>
    <n v="8"/>
    <n v="6.4"/>
    <m/>
    <x v="2"/>
    <n v="0"/>
    <n v="6.4"/>
    <s v=""/>
  </r>
  <r>
    <n v="44"/>
    <x v="2"/>
    <x v="9"/>
    <s v="Kg"/>
    <n v="2.8"/>
    <n v="9.58"/>
    <n v="26.823999999999998"/>
    <m/>
    <x v="2"/>
    <n v="10"/>
    <n v="36.823999999999998"/>
    <n v="314.50400000000002"/>
  </r>
  <r>
    <n v="45"/>
    <x v="2"/>
    <x v="20"/>
    <s v="Kg"/>
    <n v="2"/>
    <n v="4.5"/>
    <n v="9"/>
    <m/>
    <x v="0"/>
    <n v="0"/>
    <n v="9"/>
    <s v=""/>
  </r>
  <r>
    <n v="45"/>
    <x v="2"/>
    <x v="6"/>
    <s v="Litro"/>
    <n v="10"/>
    <n v="1.49"/>
    <n v="14.9"/>
    <m/>
    <x v="0"/>
    <n v="0"/>
    <n v="14.9"/>
    <s v=""/>
  </r>
  <r>
    <n v="45"/>
    <x v="2"/>
    <x v="33"/>
    <s v="Kg"/>
    <n v="2"/>
    <n v="10"/>
    <n v="20"/>
    <m/>
    <x v="0"/>
    <n v="0"/>
    <n v="20"/>
    <s v=""/>
  </r>
  <r>
    <n v="45"/>
    <x v="2"/>
    <x v="25"/>
    <s v="Kg"/>
    <n v="1"/>
    <n v="12"/>
    <n v="12"/>
    <m/>
    <x v="0"/>
    <n v="0"/>
    <n v="12"/>
    <n v="55.9"/>
  </r>
  <r>
    <n v="46"/>
    <x v="2"/>
    <x v="0"/>
    <s v="Kg"/>
    <n v="10"/>
    <n v="2.4900000000000002"/>
    <n v="24.900000000000002"/>
    <m/>
    <x v="2"/>
    <n v="0"/>
    <n v="24.900000000000002"/>
    <s v=""/>
  </r>
  <r>
    <n v="46"/>
    <x v="2"/>
    <x v="1"/>
    <s v="Kg"/>
    <n v="6"/>
    <n v="4.28"/>
    <n v="25.68"/>
    <m/>
    <x v="2"/>
    <n v="0"/>
    <n v="25.68"/>
    <s v=""/>
  </r>
  <r>
    <n v="46"/>
    <x v="2"/>
    <x v="6"/>
    <s v="Litro"/>
    <n v="2"/>
    <n v="1.49"/>
    <n v="2.98"/>
    <m/>
    <x v="2"/>
    <n v="0"/>
    <n v="2.98"/>
    <s v=""/>
  </r>
  <r>
    <n v="46"/>
    <x v="2"/>
    <x v="3"/>
    <s v="Unidade"/>
    <n v="2"/>
    <n v="2.99"/>
    <n v="5.98"/>
    <m/>
    <x v="2"/>
    <n v="0"/>
    <n v="5.98"/>
    <s v=""/>
  </r>
  <r>
    <n v="46"/>
    <x v="2"/>
    <x v="25"/>
    <s v="Kg"/>
    <n v="2"/>
    <n v="12"/>
    <n v="24"/>
    <m/>
    <x v="2"/>
    <n v="0"/>
    <n v="24"/>
    <s v=""/>
  </r>
  <r>
    <n v="46"/>
    <x v="2"/>
    <x v="24"/>
    <s v="Garrafa"/>
    <n v="4"/>
    <n v="54.9"/>
    <n v="219.6"/>
    <m/>
    <x v="2"/>
    <n v="0"/>
    <n v="219.6"/>
    <s v=""/>
  </r>
  <r>
    <n v="46"/>
    <x v="2"/>
    <x v="23"/>
    <s v="Garrafa"/>
    <n v="3"/>
    <n v="29.9"/>
    <n v="89.699999999999989"/>
    <m/>
    <x v="2"/>
    <n v="0"/>
    <n v="89.699999999999989"/>
    <s v=""/>
  </r>
  <r>
    <n v="46"/>
    <x v="2"/>
    <x v="15"/>
    <s v="Kg"/>
    <n v="5"/>
    <n v="23.9"/>
    <n v="119.5"/>
    <m/>
    <x v="2"/>
    <n v="0"/>
    <n v="119.5"/>
    <s v=""/>
  </r>
  <r>
    <n v="46"/>
    <x v="2"/>
    <x v="30"/>
    <s v="Kg"/>
    <n v="1"/>
    <n v="3"/>
    <n v="3"/>
    <m/>
    <x v="2"/>
    <n v="0"/>
    <n v="3"/>
    <s v=""/>
  </r>
  <r>
    <n v="46"/>
    <x v="2"/>
    <x v="10"/>
    <s v="Kg"/>
    <n v="6"/>
    <n v="15.9"/>
    <n v="95.4"/>
    <m/>
    <x v="2"/>
    <n v="0"/>
    <n v="95.4"/>
    <s v=""/>
  </r>
  <r>
    <n v="46"/>
    <x v="2"/>
    <x v="26"/>
    <s v="Unidade"/>
    <n v="1"/>
    <n v="7"/>
    <n v="7"/>
    <m/>
    <x v="2"/>
    <n v="0"/>
    <n v="7"/>
    <s v=""/>
  </r>
  <r>
    <n v="46"/>
    <x v="2"/>
    <x v="5"/>
    <s v="Litro"/>
    <n v="5"/>
    <n v="2.39"/>
    <n v="11.950000000000001"/>
    <m/>
    <x v="2"/>
    <n v="0"/>
    <n v="11.950000000000001"/>
    <s v=""/>
  </r>
  <r>
    <n v="46"/>
    <x v="2"/>
    <x v="9"/>
    <s v="Kg"/>
    <n v="1"/>
    <n v="9.58"/>
    <n v="9.58"/>
    <m/>
    <x v="2"/>
    <n v="10"/>
    <n v="19.579999999999998"/>
    <n v="649.27"/>
  </r>
  <r>
    <n v="47"/>
    <x v="2"/>
    <x v="39"/>
    <s v="Kg"/>
    <n v="1"/>
    <n v="2.8"/>
    <n v="2.8"/>
    <m/>
    <x v="3"/>
    <n v="0"/>
    <n v="2.8"/>
    <s v=""/>
  </r>
  <r>
    <n v="47"/>
    <x v="2"/>
    <x v="3"/>
    <s v="Unidade"/>
    <n v="1"/>
    <n v="2.99"/>
    <n v="2.99"/>
    <m/>
    <x v="3"/>
    <n v="0"/>
    <n v="2.99"/>
    <s v=""/>
  </r>
  <r>
    <n v="47"/>
    <x v="2"/>
    <x v="16"/>
    <s v="Pacote"/>
    <n v="3"/>
    <n v="1.99"/>
    <n v="5.97"/>
    <m/>
    <x v="3"/>
    <n v="0"/>
    <n v="5.97"/>
    <s v=""/>
  </r>
  <r>
    <n v="47"/>
    <x v="2"/>
    <x v="19"/>
    <s v="Kg"/>
    <n v="1"/>
    <n v="7"/>
    <n v="7"/>
    <m/>
    <x v="3"/>
    <n v="0"/>
    <n v="7"/>
    <s v=""/>
  </r>
  <r>
    <n v="47"/>
    <x v="2"/>
    <x v="32"/>
    <s v="Kg"/>
    <n v="3"/>
    <n v="4"/>
    <n v="12"/>
    <m/>
    <x v="3"/>
    <n v="0"/>
    <n v="12"/>
    <s v=""/>
  </r>
  <r>
    <n v="47"/>
    <x v="2"/>
    <x v="10"/>
    <s v="Kg"/>
    <n v="5"/>
    <n v="15.9"/>
    <n v="79.5"/>
    <m/>
    <x v="3"/>
    <n v="0"/>
    <n v="79.5"/>
    <s v=""/>
  </r>
  <r>
    <n v="47"/>
    <x v="2"/>
    <x v="2"/>
    <s v="Kg"/>
    <n v="2"/>
    <n v="3.99"/>
    <n v="7.98"/>
    <m/>
    <x v="3"/>
    <n v="0"/>
    <n v="7.98"/>
    <s v=""/>
  </r>
  <r>
    <n v="47"/>
    <x v="2"/>
    <x v="6"/>
    <s v="Litro"/>
    <n v="2"/>
    <n v="1.49"/>
    <n v="2.98"/>
    <m/>
    <x v="3"/>
    <n v="0"/>
    <n v="2.98"/>
    <s v=""/>
  </r>
  <r>
    <n v="47"/>
    <x v="2"/>
    <x v="40"/>
    <s v="Kg"/>
    <n v="1"/>
    <n v="24"/>
    <n v="24"/>
    <m/>
    <x v="3"/>
    <n v="0"/>
    <n v="24"/>
    <s v=""/>
  </r>
  <r>
    <n v="47"/>
    <x v="2"/>
    <x v="25"/>
    <s v="Kg"/>
    <n v="1"/>
    <n v="12"/>
    <n v="12"/>
    <m/>
    <x v="3"/>
    <n v="0"/>
    <n v="12"/>
    <s v=""/>
  </r>
  <r>
    <n v="47"/>
    <x v="2"/>
    <x v="1"/>
    <s v="Kg"/>
    <n v="5"/>
    <n v="4.28"/>
    <n v="21.400000000000002"/>
    <m/>
    <x v="3"/>
    <n v="0"/>
    <n v="21.400000000000002"/>
    <s v=""/>
  </r>
  <r>
    <n v="47"/>
    <x v="2"/>
    <x v="11"/>
    <s v="Unidade"/>
    <n v="2"/>
    <n v="2.89"/>
    <n v="5.78"/>
    <m/>
    <x v="3"/>
    <n v="7"/>
    <n v="12.780000000000001"/>
    <n v="191.4"/>
  </r>
  <r>
    <n v="48"/>
    <x v="2"/>
    <x v="24"/>
    <s v="Garrafa"/>
    <n v="10"/>
    <n v="54.9"/>
    <n v="549"/>
    <m/>
    <x v="0"/>
    <n v="0"/>
    <n v="549"/>
    <s v=""/>
  </r>
  <r>
    <n v="48"/>
    <x v="2"/>
    <x v="23"/>
    <s v="Garrafa"/>
    <n v="5"/>
    <n v="29.9"/>
    <n v="149.5"/>
    <m/>
    <x v="0"/>
    <n v="0"/>
    <n v="149.5"/>
    <n v="698.5"/>
  </r>
  <r>
    <n v="49"/>
    <x v="2"/>
    <x v="0"/>
    <s v="Kg"/>
    <n v="10"/>
    <n v="2.4900000000000002"/>
    <n v="24.900000000000002"/>
    <m/>
    <x v="0"/>
    <n v="0"/>
    <n v="24.900000000000002"/>
    <s v=""/>
  </r>
  <r>
    <n v="49"/>
    <x v="2"/>
    <x v="1"/>
    <s v="Kg"/>
    <n v="6"/>
    <n v="4.28"/>
    <n v="25.68"/>
    <m/>
    <x v="0"/>
    <n v="0"/>
    <n v="25.68"/>
    <s v=""/>
  </r>
  <r>
    <n v="49"/>
    <x v="2"/>
    <x v="12"/>
    <s v="Kg"/>
    <n v="3"/>
    <n v="6.98"/>
    <n v="20.94"/>
    <m/>
    <x v="0"/>
    <n v="0"/>
    <n v="20.94"/>
    <s v=""/>
  </r>
  <r>
    <n v="49"/>
    <x v="2"/>
    <x v="41"/>
    <s v="Pacote"/>
    <n v="2"/>
    <n v="0.79"/>
    <n v="1.58"/>
    <m/>
    <x v="0"/>
    <n v="0"/>
    <n v="1.58"/>
    <s v=""/>
  </r>
  <r>
    <n v="49"/>
    <x v="2"/>
    <x v="10"/>
    <s v="Kg"/>
    <n v="6"/>
    <n v="15.9"/>
    <n v="95.4"/>
    <m/>
    <x v="0"/>
    <n v="0"/>
    <n v="95.4"/>
    <s v=""/>
  </r>
  <r>
    <n v="49"/>
    <x v="2"/>
    <x v="6"/>
    <s v="Litro"/>
    <n v="3"/>
    <n v="1.49"/>
    <n v="4.47"/>
    <m/>
    <x v="0"/>
    <n v="0"/>
    <n v="4.47"/>
    <s v=""/>
  </r>
  <r>
    <n v="49"/>
    <x v="2"/>
    <x v="11"/>
    <s v="Unidade"/>
    <n v="2"/>
    <n v="2.89"/>
    <n v="5.78"/>
    <m/>
    <x v="0"/>
    <n v="0"/>
    <n v="5.78"/>
    <s v=""/>
  </r>
  <r>
    <n v="49"/>
    <x v="2"/>
    <x v="15"/>
    <s v="Kg"/>
    <n v="10"/>
    <n v="23.9"/>
    <n v="239"/>
    <m/>
    <x v="0"/>
    <n v="0"/>
    <n v="239"/>
    <s v=""/>
  </r>
  <r>
    <n v="49"/>
    <x v="2"/>
    <x v="25"/>
    <s v="Kg"/>
    <n v="2"/>
    <n v="12"/>
    <n v="24"/>
    <m/>
    <x v="0"/>
    <n v="0"/>
    <n v="24"/>
    <s v=""/>
  </r>
  <r>
    <n v="49"/>
    <x v="2"/>
    <x v="17"/>
    <s v="Pacote"/>
    <n v="1"/>
    <n v="1.1499999999999999"/>
    <n v="1.1499999999999999"/>
    <m/>
    <x v="0"/>
    <n v="0"/>
    <n v="1.1499999999999999"/>
    <s v=""/>
  </r>
  <r>
    <n v="49"/>
    <x v="2"/>
    <x v="22"/>
    <s v="Litro"/>
    <n v="5"/>
    <n v="3.45"/>
    <n v="17.25"/>
    <m/>
    <x v="0"/>
    <n v="0"/>
    <n v="17.25"/>
    <s v=""/>
  </r>
  <r>
    <n v="49"/>
    <x v="2"/>
    <x v="13"/>
    <s v="Kg"/>
    <n v="0.8"/>
    <n v="25.9"/>
    <n v="20.72"/>
    <m/>
    <x v="0"/>
    <n v="0"/>
    <n v="20.72"/>
    <n v="480.87"/>
  </r>
  <r>
    <n v="50"/>
    <x v="2"/>
    <x v="0"/>
    <s v="Kg"/>
    <n v="15"/>
    <n v="2.4900000000000002"/>
    <n v="37.35"/>
    <m/>
    <x v="2"/>
    <n v="0"/>
    <n v="37.35"/>
    <s v=""/>
  </r>
  <r>
    <n v="50"/>
    <x v="2"/>
    <x v="1"/>
    <s v="Kg"/>
    <n v="6"/>
    <n v="4.28"/>
    <n v="25.68"/>
    <m/>
    <x v="2"/>
    <n v="0"/>
    <n v="25.68"/>
    <s v=""/>
  </r>
  <r>
    <n v="50"/>
    <x v="2"/>
    <x v="12"/>
    <s v="Kg"/>
    <n v="4"/>
    <n v="6.98"/>
    <n v="27.92"/>
    <m/>
    <x v="2"/>
    <n v="0"/>
    <n v="27.92"/>
    <s v=""/>
  </r>
  <r>
    <n v="50"/>
    <x v="2"/>
    <x v="15"/>
    <s v="Kg"/>
    <n v="2"/>
    <n v="23.9"/>
    <n v="47.8"/>
    <m/>
    <x v="2"/>
    <n v="0"/>
    <n v="47.8"/>
    <s v=""/>
  </r>
  <r>
    <n v="50"/>
    <x v="2"/>
    <x v="3"/>
    <s v="Unidade"/>
    <n v="2"/>
    <n v="2.99"/>
    <n v="5.98"/>
    <m/>
    <x v="2"/>
    <n v="0"/>
    <n v="5.98"/>
    <s v=""/>
  </r>
  <r>
    <n v="50"/>
    <x v="2"/>
    <x v="2"/>
    <s v="Kg"/>
    <n v="2"/>
    <n v="3.99"/>
    <n v="7.98"/>
    <m/>
    <x v="2"/>
    <n v="0"/>
    <n v="7.98"/>
    <s v=""/>
  </r>
  <r>
    <n v="50"/>
    <x v="2"/>
    <x v="4"/>
    <s v="Barra"/>
    <n v="2"/>
    <n v="4.99"/>
    <n v="9.98"/>
    <m/>
    <x v="2"/>
    <n v="0"/>
    <n v="9.98"/>
    <s v=""/>
  </r>
  <r>
    <n v="50"/>
    <x v="2"/>
    <x v="20"/>
    <s v="Kg"/>
    <n v="3"/>
    <n v="4.5"/>
    <n v="13.5"/>
    <m/>
    <x v="2"/>
    <n v="0"/>
    <n v="13.5"/>
    <s v=""/>
  </r>
  <r>
    <n v="50"/>
    <x v="2"/>
    <x v="40"/>
    <s v="Kg"/>
    <n v="2"/>
    <n v="24"/>
    <n v="48"/>
    <m/>
    <x v="2"/>
    <n v="0"/>
    <n v="48"/>
    <s v=""/>
  </r>
  <r>
    <n v="50"/>
    <x v="2"/>
    <x v="9"/>
    <s v="Kg"/>
    <n v="2"/>
    <n v="9.58"/>
    <n v="19.16"/>
    <m/>
    <x v="2"/>
    <n v="0"/>
    <n v="19.16"/>
    <s v=""/>
  </r>
  <r>
    <n v="50"/>
    <x v="2"/>
    <x v="30"/>
    <s v="Kg"/>
    <n v="1"/>
    <n v="3"/>
    <n v="3"/>
    <m/>
    <x v="2"/>
    <n v="10"/>
    <n v="13"/>
    <n v="256.34999999999997"/>
  </r>
  <r>
    <n v="51"/>
    <x v="2"/>
    <x v="23"/>
    <s v="Garrafa"/>
    <n v="100"/>
    <n v="29.9"/>
    <n v="2990"/>
    <m/>
    <x v="2"/>
    <n v="0"/>
    <n v="2990"/>
    <s v=""/>
  </r>
  <r>
    <n v="51"/>
    <x v="2"/>
    <x v="24"/>
    <s v="Garrafa"/>
    <n v="50"/>
    <n v="54.9"/>
    <n v="2745"/>
    <n v="0.05"/>
    <x v="2"/>
    <n v="0"/>
    <n v="2607.75"/>
    <s v=""/>
  </r>
  <r>
    <n v="51"/>
    <x v="2"/>
    <x v="7"/>
    <s v="Lata"/>
    <n v="150"/>
    <n v="2.19"/>
    <n v="328.5"/>
    <m/>
    <x v="2"/>
    <n v="0"/>
    <n v="328.5"/>
    <s v=""/>
  </r>
  <r>
    <n v="51"/>
    <x v="2"/>
    <x v="5"/>
    <s v="Litro"/>
    <n v="50"/>
    <n v="2.39"/>
    <n v="119.5"/>
    <m/>
    <x v="2"/>
    <n v="0"/>
    <n v="119.5"/>
    <s v=""/>
  </r>
  <r>
    <n v="51"/>
    <x v="2"/>
    <x v="6"/>
    <s v="Litro"/>
    <n v="15"/>
    <n v="1.49"/>
    <n v="22.35"/>
    <m/>
    <x v="2"/>
    <n v="10"/>
    <n v="32.35"/>
    <n v="6078.1"/>
  </r>
  <r>
    <n v="52"/>
    <x v="2"/>
    <x v="0"/>
    <s v="Kg"/>
    <n v="20"/>
    <n v="2.4900000000000002"/>
    <n v="49.800000000000004"/>
    <m/>
    <x v="3"/>
    <n v="0"/>
    <n v="49.800000000000004"/>
    <s v=""/>
  </r>
  <r>
    <n v="52"/>
    <x v="2"/>
    <x v="1"/>
    <s v="Kg"/>
    <n v="10"/>
    <n v="4.28"/>
    <n v="42.800000000000004"/>
    <m/>
    <x v="3"/>
    <n v="7"/>
    <n v="49.800000000000004"/>
    <n v="99.600000000000009"/>
  </r>
  <r>
    <n v="53"/>
    <x v="2"/>
    <x v="3"/>
    <s v="Unidade"/>
    <n v="2"/>
    <n v="2.99"/>
    <n v="5.98"/>
    <m/>
    <x v="2"/>
    <n v="0"/>
    <n v="5.98"/>
    <s v=""/>
  </r>
  <r>
    <n v="53"/>
    <x v="2"/>
    <x v="2"/>
    <s v="Kg"/>
    <n v="2"/>
    <n v="3.99"/>
    <n v="7.98"/>
    <m/>
    <x v="2"/>
    <n v="0"/>
    <n v="7.98"/>
    <s v=""/>
  </r>
  <r>
    <n v="53"/>
    <x v="2"/>
    <x v="4"/>
    <s v="Barra"/>
    <n v="2"/>
    <n v="4.99"/>
    <n v="9.98"/>
    <m/>
    <x v="2"/>
    <n v="0"/>
    <n v="9.98"/>
    <s v=""/>
  </r>
  <r>
    <n v="53"/>
    <x v="2"/>
    <x v="26"/>
    <s v="Unidade"/>
    <n v="1"/>
    <n v="7"/>
    <n v="7"/>
    <m/>
    <x v="2"/>
    <n v="0"/>
    <n v="7"/>
    <s v=""/>
  </r>
  <r>
    <n v="53"/>
    <x v="2"/>
    <x v="30"/>
    <s v="Kg"/>
    <n v="2"/>
    <n v="3"/>
    <n v="6"/>
    <m/>
    <x v="2"/>
    <n v="10"/>
    <n v="16"/>
    <n v="46.94"/>
  </r>
  <r>
    <n v="54"/>
    <x v="2"/>
    <x v="6"/>
    <s v="Litro"/>
    <n v="5"/>
    <n v="1.49"/>
    <n v="7.45"/>
    <m/>
    <x v="1"/>
    <n v="0"/>
    <n v="7.45"/>
    <s v=""/>
  </r>
  <r>
    <n v="54"/>
    <x v="2"/>
    <x v="5"/>
    <s v="Litro"/>
    <n v="3"/>
    <n v="2.39"/>
    <n v="7.17"/>
    <m/>
    <x v="1"/>
    <n v="12.8"/>
    <n v="19.97"/>
    <n v="27.419999999999998"/>
  </r>
  <r>
    <n v="55"/>
    <x v="2"/>
    <x v="24"/>
    <s v="Garrafa"/>
    <n v="1"/>
    <n v="54.9"/>
    <n v="54.9"/>
    <m/>
    <x v="0"/>
    <n v="0"/>
    <n v="54.9"/>
    <n v="54.9"/>
  </r>
  <r>
    <n v="56"/>
    <x v="2"/>
    <x v="0"/>
    <s v="Kg"/>
    <n v="5"/>
    <n v="2.4900000000000002"/>
    <n v="12.450000000000001"/>
    <m/>
    <x v="0"/>
    <n v="0"/>
    <n v="12.450000000000001"/>
    <s v=""/>
  </r>
  <r>
    <n v="56"/>
    <x v="2"/>
    <x v="39"/>
    <s v="Kg"/>
    <n v="1"/>
    <n v="2.8"/>
    <n v="2.8"/>
    <m/>
    <x v="0"/>
    <n v="0"/>
    <n v="2.8"/>
    <s v=""/>
  </r>
  <r>
    <n v="56"/>
    <x v="2"/>
    <x v="20"/>
    <s v="Kg"/>
    <n v="2"/>
    <n v="4.5"/>
    <n v="9"/>
    <m/>
    <x v="0"/>
    <n v="0"/>
    <n v="9"/>
    <s v=""/>
  </r>
  <r>
    <n v="56"/>
    <x v="2"/>
    <x v="2"/>
    <s v="Kg"/>
    <n v="2"/>
    <n v="3.99"/>
    <n v="7.98"/>
    <m/>
    <x v="0"/>
    <n v="0"/>
    <n v="7.98"/>
    <s v=""/>
  </r>
  <r>
    <n v="56"/>
    <x v="2"/>
    <x v="30"/>
    <s v="Kg"/>
    <n v="2"/>
    <n v="3"/>
    <n v="6"/>
    <m/>
    <x v="0"/>
    <n v="0"/>
    <n v="6"/>
    <n v="38.230000000000004"/>
  </r>
  <r>
    <n v="57"/>
    <x v="2"/>
    <x v="0"/>
    <s v="Kg"/>
    <n v="10"/>
    <n v="2.4900000000000002"/>
    <n v="24.900000000000002"/>
    <m/>
    <x v="2"/>
    <n v="0"/>
    <n v="24.900000000000002"/>
    <s v=""/>
  </r>
  <r>
    <n v="57"/>
    <x v="2"/>
    <x v="1"/>
    <s v="Kg"/>
    <n v="5"/>
    <n v="4.28"/>
    <n v="21.400000000000002"/>
    <m/>
    <x v="2"/>
    <n v="0"/>
    <n v="21.400000000000002"/>
    <s v=""/>
  </r>
  <r>
    <n v="57"/>
    <x v="2"/>
    <x v="12"/>
    <s v="Kg"/>
    <n v="5"/>
    <n v="6.98"/>
    <n v="34.900000000000006"/>
    <m/>
    <x v="2"/>
    <n v="10"/>
    <n v="44.900000000000006"/>
    <n v="91.200000000000017"/>
  </r>
  <r>
    <n v="58"/>
    <x v="2"/>
    <x v="0"/>
    <s v="Kg"/>
    <n v="20"/>
    <n v="2.4900000000000002"/>
    <n v="49.800000000000004"/>
    <m/>
    <x v="0"/>
    <n v="0"/>
    <n v="49.800000000000004"/>
    <s v=""/>
  </r>
  <r>
    <n v="58"/>
    <x v="2"/>
    <x v="1"/>
    <s v="Kg"/>
    <n v="10"/>
    <n v="4.28"/>
    <n v="42.800000000000004"/>
    <m/>
    <x v="0"/>
    <n v="0"/>
    <n v="42.800000000000004"/>
    <s v=""/>
  </r>
  <r>
    <n v="58"/>
    <x v="2"/>
    <x v="12"/>
    <s v="Kg"/>
    <n v="5"/>
    <n v="6.98"/>
    <n v="34.900000000000006"/>
    <m/>
    <x v="0"/>
    <n v="0"/>
    <n v="34.900000000000006"/>
    <s v=""/>
  </r>
  <r>
    <n v="58"/>
    <x v="2"/>
    <x v="10"/>
    <s v="Kg"/>
    <n v="6"/>
    <n v="15.9"/>
    <n v="95.4"/>
    <m/>
    <x v="0"/>
    <n v="0"/>
    <n v="95.4"/>
    <s v=""/>
  </r>
  <r>
    <n v="58"/>
    <x v="2"/>
    <x v="15"/>
    <s v="Kg"/>
    <n v="8"/>
    <n v="23.9"/>
    <n v="191.2"/>
    <m/>
    <x v="0"/>
    <n v="0"/>
    <n v="191.2"/>
    <s v=""/>
  </r>
  <r>
    <n v="58"/>
    <x v="2"/>
    <x v="30"/>
    <s v="Kg"/>
    <n v="1"/>
    <n v="3"/>
    <n v="3"/>
    <m/>
    <x v="0"/>
    <n v="0"/>
    <n v="3"/>
    <s v=""/>
  </r>
  <r>
    <n v="58"/>
    <x v="2"/>
    <x v="9"/>
    <s v="Kg"/>
    <n v="0.2"/>
    <n v="9.58"/>
    <n v="1.9160000000000001"/>
    <m/>
    <x v="0"/>
    <n v="0"/>
    <n v="1.9160000000000001"/>
    <s v=""/>
  </r>
  <r>
    <n v="58"/>
    <x v="2"/>
    <x v="23"/>
    <s v="Garrafa"/>
    <n v="5"/>
    <n v="29.9"/>
    <n v="149.5"/>
    <m/>
    <x v="0"/>
    <n v="0"/>
    <n v="149.5"/>
    <s v=""/>
  </r>
  <r>
    <n v="58"/>
    <x v="2"/>
    <x v="5"/>
    <s v="Litro"/>
    <n v="4"/>
    <n v="2.39"/>
    <n v="9.56"/>
    <m/>
    <x v="0"/>
    <n v="0"/>
    <n v="9.56"/>
    <s v=""/>
  </r>
  <r>
    <n v="58"/>
    <x v="2"/>
    <x v="26"/>
    <s v="Unidade"/>
    <n v="2"/>
    <n v="7"/>
    <n v="14"/>
    <m/>
    <x v="0"/>
    <n v="0"/>
    <n v="14"/>
    <s v=""/>
  </r>
  <r>
    <n v="58"/>
    <x v="2"/>
    <x v="13"/>
    <s v="Kg"/>
    <n v="1"/>
    <n v="25.9"/>
    <n v="25.9"/>
    <m/>
    <x v="0"/>
    <n v="0"/>
    <n v="25.9"/>
    <s v=""/>
  </r>
  <r>
    <n v="58"/>
    <x v="2"/>
    <x v="8"/>
    <s v="Kg"/>
    <n v="5"/>
    <n v="5.82"/>
    <n v="29.1"/>
    <m/>
    <x v="0"/>
    <n v="0"/>
    <n v="29.1"/>
    <s v=""/>
  </r>
  <r>
    <n v="58"/>
    <x v="2"/>
    <x v="31"/>
    <s v="Unidade"/>
    <n v="1"/>
    <n v="10"/>
    <n v="10"/>
    <m/>
    <x v="0"/>
    <n v="0"/>
    <n v="10"/>
    <s v=""/>
  </r>
  <r>
    <n v="58"/>
    <x v="2"/>
    <x v="22"/>
    <s v="Litro"/>
    <n v="5"/>
    <n v="3.45"/>
    <n v="17.25"/>
    <m/>
    <x v="0"/>
    <n v="0"/>
    <n v="17.25"/>
    <s v=""/>
  </r>
  <r>
    <n v="58"/>
    <x v="2"/>
    <x v="27"/>
    <s v="Kg"/>
    <n v="0.5"/>
    <n v="2.9"/>
    <n v="1.45"/>
    <m/>
    <x v="0"/>
    <n v="0"/>
    <n v="1.45"/>
    <s v=""/>
  </r>
  <r>
    <n v="58"/>
    <x v="2"/>
    <x v="28"/>
    <s v="Kg"/>
    <n v="0.8"/>
    <n v="7"/>
    <n v="5.6000000000000005"/>
    <m/>
    <x v="0"/>
    <n v="0"/>
    <n v="5.6000000000000005"/>
    <s v=""/>
  </r>
  <r>
    <n v="58"/>
    <x v="2"/>
    <x v="39"/>
    <s v="Kg"/>
    <n v="1"/>
    <n v="2.8"/>
    <n v="2.8"/>
    <m/>
    <x v="0"/>
    <n v="0"/>
    <n v="2.8"/>
    <n v="684.17600000000004"/>
  </r>
  <r>
    <n v="59"/>
    <x v="2"/>
    <x v="42"/>
    <s v="Maço"/>
    <n v="2"/>
    <n v="6.75"/>
    <n v="13.5"/>
    <m/>
    <x v="2"/>
    <n v="0"/>
    <n v="13.5"/>
    <s v=""/>
  </r>
  <r>
    <n v="59"/>
    <x v="2"/>
    <x v="4"/>
    <s v="Barra"/>
    <n v="2"/>
    <n v="4.99"/>
    <n v="9.98"/>
    <m/>
    <x v="2"/>
    <n v="0"/>
    <n v="9.98"/>
    <s v=""/>
  </r>
  <r>
    <n v="59"/>
    <x v="2"/>
    <x v="33"/>
    <s v="Kg"/>
    <n v="1"/>
    <n v="10"/>
    <n v="10"/>
    <m/>
    <x v="2"/>
    <n v="0"/>
    <n v="10"/>
    <s v=""/>
  </r>
  <r>
    <n v="59"/>
    <x v="2"/>
    <x v="37"/>
    <s v="Kg"/>
    <n v="1"/>
    <n v="7.8"/>
    <n v="7.8"/>
    <m/>
    <x v="2"/>
    <n v="0"/>
    <n v="7.8"/>
    <s v=""/>
  </r>
  <r>
    <n v="59"/>
    <x v="2"/>
    <x v="39"/>
    <s v="Kg"/>
    <n v="3"/>
    <n v="2.8"/>
    <n v="8.3999999999999986"/>
    <m/>
    <x v="2"/>
    <n v="10"/>
    <n v="18.399999999999999"/>
    <n v="59.68"/>
  </r>
  <r>
    <n v="60"/>
    <x v="2"/>
    <x v="0"/>
    <s v="Kg"/>
    <n v="10"/>
    <n v="2.4900000000000002"/>
    <n v="24.900000000000002"/>
    <m/>
    <x v="1"/>
    <n v="0"/>
    <n v="24.900000000000002"/>
    <s v=""/>
  </r>
  <r>
    <n v="60"/>
    <x v="2"/>
    <x v="1"/>
    <s v="Kg"/>
    <n v="5"/>
    <n v="4.28"/>
    <n v="21.400000000000002"/>
    <m/>
    <x v="1"/>
    <n v="0"/>
    <n v="21.400000000000002"/>
    <s v=""/>
  </r>
  <r>
    <n v="60"/>
    <x v="2"/>
    <x v="12"/>
    <s v="Kg"/>
    <n v="6"/>
    <n v="6.98"/>
    <n v="41.88"/>
    <m/>
    <x v="1"/>
    <n v="0"/>
    <n v="41.88"/>
    <s v=""/>
  </r>
  <r>
    <n v="60"/>
    <x v="2"/>
    <x v="11"/>
    <s v="Unidade"/>
    <n v="2"/>
    <n v="2.89"/>
    <n v="5.78"/>
    <m/>
    <x v="1"/>
    <n v="0"/>
    <n v="5.78"/>
    <s v=""/>
  </r>
  <r>
    <n v="60"/>
    <x v="2"/>
    <x v="15"/>
    <s v="Kg"/>
    <n v="3"/>
    <n v="23.9"/>
    <n v="71.699999999999989"/>
    <m/>
    <x v="1"/>
    <n v="0"/>
    <n v="71.699999999999989"/>
    <s v=""/>
  </r>
  <r>
    <n v="60"/>
    <x v="2"/>
    <x v="20"/>
    <s v="Kg"/>
    <n v="2"/>
    <n v="4.5"/>
    <n v="9"/>
    <m/>
    <x v="1"/>
    <n v="0"/>
    <n v="9"/>
    <s v=""/>
  </r>
  <r>
    <n v="60"/>
    <x v="2"/>
    <x v="6"/>
    <s v="Litro"/>
    <n v="2"/>
    <n v="1.49"/>
    <n v="2.98"/>
    <m/>
    <x v="1"/>
    <n v="0"/>
    <n v="2.98"/>
    <s v=""/>
  </r>
  <r>
    <n v="60"/>
    <x v="2"/>
    <x v="25"/>
    <s v="Kg"/>
    <n v="1"/>
    <n v="12"/>
    <n v="12"/>
    <m/>
    <x v="1"/>
    <n v="0"/>
    <n v="12"/>
    <s v=""/>
  </r>
  <r>
    <n v="60"/>
    <x v="2"/>
    <x v="3"/>
    <s v="Unidade"/>
    <n v="2"/>
    <n v="2.99"/>
    <n v="5.98"/>
    <m/>
    <x v="1"/>
    <n v="0"/>
    <n v="5.98"/>
    <s v=""/>
  </r>
  <r>
    <n v="60"/>
    <x v="2"/>
    <x v="5"/>
    <s v="Litro"/>
    <n v="1"/>
    <n v="2.39"/>
    <n v="2.39"/>
    <m/>
    <x v="1"/>
    <n v="0"/>
    <n v="2.39"/>
    <s v=""/>
  </r>
  <r>
    <n v="60"/>
    <x v="2"/>
    <x v="22"/>
    <s v="Litro"/>
    <n v="2"/>
    <n v="3.45"/>
    <n v="6.9"/>
    <m/>
    <x v="1"/>
    <n v="0"/>
    <n v="6.9"/>
    <s v=""/>
  </r>
  <r>
    <n v="60"/>
    <x v="2"/>
    <x v="23"/>
    <s v="Garrafa"/>
    <n v="5"/>
    <n v="29.9"/>
    <n v="149.5"/>
    <m/>
    <x v="1"/>
    <n v="0"/>
    <n v="149.5"/>
    <s v=""/>
  </r>
  <r>
    <n v="60"/>
    <x v="2"/>
    <x v="27"/>
    <s v="Kg"/>
    <n v="1"/>
    <n v="2.9"/>
    <n v="2.9"/>
    <m/>
    <x v="1"/>
    <n v="0"/>
    <n v="2.9"/>
    <s v=""/>
  </r>
  <r>
    <n v="60"/>
    <x v="2"/>
    <x v="40"/>
    <s v="Kg"/>
    <n v="0.8"/>
    <n v="24"/>
    <n v="19.200000000000003"/>
    <m/>
    <x v="1"/>
    <n v="0"/>
    <n v="19.200000000000003"/>
    <s v=""/>
  </r>
  <r>
    <n v="60"/>
    <x v="2"/>
    <x v="8"/>
    <s v="Kg"/>
    <n v="5"/>
    <n v="5.82"/>
    <n v="29.1"/>
    <m/>
    <x v="1"/>
    <n v="0"/>
    <n v="29.1"/>
    <s v=""/>
  </r>
  <r>
    <n v="60"/>
    <x v="2"/>
    <x v="9"/>
    <s v="Kg"/>
    <n v="0.6"/>
    <n v="9.58"/>
    <n v="5.7480000000000002"/>
    <m/>
    <x v="1"/>
    <n v="0"/>
    <n v="5.7480000000000002"/>
    <s v=""/>
  </r>
  <r>
    <n v="60"/>
    <x v="2"/>
    <x v="13"/>
    <s v="Kg"/>
    <n v="1"/>
    <n v="25.9"/>
    <n v="25.9"/>
    <m/>
    <x v="1"/>
    <n v="0"/>
    <n v="25.9"/>
    <s v=""/>
  </r>
  <r>
    <n v="60"/>
    <x v="2"/>
    <x v="29"/>
    <s v="Kg"/>
    <n v="0.9"/>
    <n v="5"/>
    <n v="4.5"/>
    <m/>
    <x v="1"/>
    <n v="12.8"/>
    <n v="17.3"/>
    <n v="454.55799999999994"/>
  </r>
  <r>
    <n v="61"/>
    <x v="2"/>
    <x v="32"/>
    <s v="Kg"/>
    <n v="3"/>
    <n v="4"/>
    <n v="12"/>
    <m/>
    <x v="0"/>
    <n v="0"/>
    <n v="12"/>
    <s v=""/>
  </r>
  <r>
    <n v="61"/>
    <x v="2"/>
    <x v="11"/>
    <s v="Unidade"/>
    <n v="1"/>
    <n v="2.89"/>
    <n v="2.89"/>
    <m/>
    <x v="0"/>
    <n v="0"/>
    <n v="2.89"/>
    <n v="14.89"/>
  </r>
  <r>
    <n v="62"/>
    <x v="3"/>
    <x v="39"/>
    <s v="Kg"/>
    <n v="1"/>
    <n v="2.8"/>
    <n v="2.8"/>
    <m/>
    <x v="3"/>
    <n v="0"/>
    <n v="2.8"/>
    <s v=""/>
  </r>
  <r>
    <n v="62"/>
    <x v="3"/>
    <x v="0"/>
    <s v="Kg"/>
    <n v="15"/>
    <n v="2.4900000000000002"/>
    <n v="37.35"/>
    <m/>
    <x v="3"/>
    <n v="0"/>
    <n v="37.35"/>
    <s v=""/>
  </r>
  <r>
    <n v="62"/>
    <x v="3"/>
    <x v="1"/>
    <s v="Kg"/>
    <n v="10"/>
    <n v="4.28"/>
    <n v="42.800000000000004"/>
    <m/>
    <x v="3"/>
    <n v="0"/>
    <n v="42.800000000000004"/>
    <s v=""/>
  </r>
  <r>
    <n v="62"/>
    <x v="3"/>
    <x v="15"/>
    <s v="Kg"/>
    <n v="5"/>
    <n v="23.9"/>
    <n v="119.5"/>
    <m/>
    <x v="3"/>
    <n v="0"/>
    <n v="119.5"/>
    <s v=""/>
  </r>
  <r>
    <n v="62"/>
    <x v="3"/>
    <x v="10"/>
    <s v="Kg"/>
    <n v="10"/>
    <n v="15.9"/>
    <n v="159"/>
    <m/>
    <x v="3"/>
    <n v="0"/>
    <n v="159"/>
    <s v=""/>
  </r>
  <r>
    <n v="62"/>
    <x v="3"/>
    <x v="17"/>
    <s v="Pacote"/>
    <n v="2"/>
    <n v="1.1499999999999999"/>
    <n v="2.2999999999999998"/>
    <m/>
    <x v="3"/>
    <n v="7"/>
    <n v="9.3000000000000007"/>
    <n v="370.75"/>
  </r>
  <r>
    <n v="63"/>
    <x v="3"/>
    <x v="0"/>
    <s v="Kg"/>
    <n v="10"/>
    <n v="2.4900000000000002"/>
    <n v="24.900000000000002"/>
    <m/>
    <x v="0"/>
    <n v="0"/>
    <n v="24.900000000000002"/>
    <s v=""/>
  </r>
  <r>
    <n v="63"/>
    <x v="3"/>
    <x v="21"/>
    <s v="Kg"/>
    <n v="5"/>
    <n v="6.8"/>
    <n v="34"/>
    <m/>
    <x v="0"/>
    <n v="0"/>
    <n v="34"/>
    <s v=""/>
  </r>
  <r>
    <n v="63"/>
    <x v="3"/>
    <x v="32"/>
    <s v="Kg"/>
    <n v="2"/>
    <n v="4"/>
    <n v="8"/>
    <m/>
    <x v="0"/>
    <n v="0"/>
    <n v="8"/>
    <s v=""/>
  </r>
  <r>
    <n v="63"/>
    <x v="3"/>
    <x v="1"/>
    <s v="Kg"/>
    <n v="3"/>
    <n v="4.28"/>
    <n v="12.84"/>
    <m/>
    <x v="0"/>
    <n v="0"/>
    <n v="12.84"/>
    <s v=""/>
  </r>
  <r>
    <n v="63"/>
    <x v="3"/>
    <x v="10"/>
    <s v="Kg"/>
    <n v="4"/>
    <n v="15.9"/>
    <n v="63.6"/>
    <m/>
    <x v="0"/>
    <n v="0"/>
    <n v="63.6"/>
    <s v=""/>
  </r>
  <r>
    <n v="63"/>
    <x v="3"/>
    <x v="15"/>
    <s v="Kg"/>
    <n v="2"/>
    <n v="23.9"/>
    <n v="47.8"/>
    <m/>
    <x v="0"/>
    <n v="0"/>
    <n v="47.8"/>
    <s v=""/>
  </r>
  <r>
    <n v="63"/>
    <x v="3"/>
    <x v="30"/>
    <s v="Kg"/>
    <n v="1"/>
    <n v="3"/>
    <n v="3"/>
    <m/>
    <x v="0"/>
    <n v="0"/>
    <n v="3"/>
    <n v="194.14"/>
  </r>
  <r>
    <n v="64"/>
    <x v="3"/>
    <x v="27"/>
    <s v="Kg"/>
    <n v="0.5"/>
    <n v="2.9"/>
    <n v="1.45"/>
    <m/>
    <x v="3"/>
    <n v="7"/>
    <n v="8.4499999999999993"/>
    <n v="8.4499999999999993"/>
  </r>
  <r>
    <n v="65"/>
    <x v="3"/>
    <x v="3"/>
    <s v="Unidade"/>
    <n v="1"/>
    <n v="2.99"/>
    <n v="2.99"/>
    <m/>
    <x v="3"/>
    <n v="0"/>
    <n v="2.99"/>
    <s v=""/>
  </r>
  <r>
    <n v="65"/>
    <x v="3"/>
    <x v="9"/>
    <s v="Kg"/>
    <n v="1"/>
    <n v="9.58"/>
    <n v="9.58"/>
    <m/>
    <x v="3"/>
    <n v="0"/>
    <n v="9.58"/>
    <s v=""/>
  </r>
  <r>
    <n v="65"/>
    <x v="3"/>
    <x v="37"/>
    <s v="Kg"/>
    <n v="2"/>
    <n v="7.8"/>
    <n v="15.6"/>
    <m/>
    <x v="3"/>
    <n v="0"/>
    <n v="15.6"/>
    <s v=""/>
  </r>
  <r>
    <n v="65"/>
    <x v="3"/>
    <x v="36"/>
    <s v="Unidade"/>
    <n v="1"/>
    <n v="18.899999999999999"/>
    <n v="18.899999999999999"/>
    <m/>
    <x v="3"/>
    <n v="0"/>
    <n v="18.899999999999999"/>
    <s v=""/>
  </r>
  <r>
    <n v="65"/>
    <x v="3"/>
    <x v="20"/>
    <s v="Kg"/>
    <n v="3"/>
    <n v="4.5"/>
    <n v="13.5"/>
    <m/>
    <x v="3"/>
    <n v="0"/>
    <n v="13.5"/>
    <s v=""/>
  </r>
  <r>
    <n v="65"/>
    <x v="3"/>
    <x v="6"/>
    <s v="Litro"/>
    <n v="4"/>
    <n v="1.49"/>
    <n v="5.96"/>
    <m/>
    <x v="3"/>
    <n v="0"/>
    <n v="5.96"/>
    <s v=""/>
  </r>
  <r>
    <n v="65"/>
    <x v="3"/>
    <x v="23"/>
    <s v="Garrafa"/>
    <n v="5"/>
    <n v="29.9"/>
    <n v="149.5"/>
    <m/>
    <x v="3"/>
    <n v="0"/>
    <n v="149.5"/>
    <s v=""/>
  </r>
  <r>
    <n v="65"/>
    <x v="3"/>
    <x v="12"/>
    <s v="Kg"/>
    <n v="3"/>
    <n v="6.98"/>
    <n v="20.94"/>
    <m/>
    <x v="3"/>
    <n v="0"/>
    <n v="20.94"/>
    <s v=""/>
  </r>
  <r>
    <n v="65"/>
    <x v="3"/>
    <x v="39"/>
    <s v="Kg"/>
    <n v="2"/>
    <n v="2.8"/>
    <n v="5.6"/>
    <m/>
    <x v="3"/>
    <n v="0"/>
    <n v="5.6"/>
    <s v=""/>
  </r>
  <r>
    <n v="65"/>
    <x v="3"/>
    <x v="26"/>
    <s v="Unidade"/>
    <n v="1"/>
    <n v="7"/>
    <n v="7"/>
    <m/>
    <x v="3"/>
    <n v="0"/>
    <n v="7"/>
    <s v=""/>
  </r>
  <r>
    <n v="65"/>
    <x v="3"/>
    <x v="4"/>
    <s v="Barra"/>
    <n v="5"/>
    <n v="4.99"/>
    <n v="24.950000000000003"/>
    <m/>
    <x v="3"/>
    <n v="0"/>
    <n v="24.950000000000003"/>
    <s v=""/>
  </r>
  <r>
    <n v="65"/>
    <x v="3"/>
    <x v="7"/>
    <s v="Lata"/>
    <n v="2"/>
    <n v="2.19"/>
    <n v="4.38"/>
    <m/>
    <x v="3"/>
    <n v="0"/>
    <n v="4.38"/>
    <s v=""/>
  </r>
  <r>
    <n v="65"/>
    <x v="3"/>
    <x v="31"/>
    <s v="Unidade"/>
    <n v="1"/>
    <n v="10"/>
    <n v="10"/>
    <m/>
    <x v="3"/>
    <n v="0"/>
    <n v="10"/>
    <s v=""/>
  </r>
  <r>
    <n v="65"/>
    <x v="3"/>
    <x v="14"/>
    <s v="Unidade"/>
    <n v="2"/>
    <n v="2.6"/>
    <n v="5.2"/>
    <m/>
    <x v="3"/>
    <n v="0"/>
    <n v="5.2"/>
    <s v=""/>
  </r>
  <r>
    <n v="65"/>
    <x v="3"/>
    <x v="19"/>
    <s v="Kg"/>
    <n v="3"/>
    <n v="7"/>
    <n v="21"/>
    <m/>
    <x v="3"/>
    <n v="0"/>
    <n v="21"/>
    <s v=""/>
  </r>
  <r>
    <n v="65"/>
    <x v="3"/>
    <x v="2"/>
    <s v="Kg"/>
    <n v="1"/>
    <n v="3.99"/>
    <n v="3.99"/>
    <m/>
    <x v="4"/>
    <n v="15"/>
    <n v="18.990000000000002"/>
    <n v="334.09"/>
  </r>
  <r>
    <n v="66"/>
    <x v="3"/>
    <x v="39"/>
    <s v="Kg"/>
    <n v="1"/>
    <n v="2.8"/>
    <n v="2.8"/>
    <m/>
    <x v="0"/>
    <n v="0"/>
    <n v="2.8"/>
    <s v=""/>
  </r>
  <r>
    <n v="66"/>
    <x v="3"/>
    <x v="0"/>
    <s v="Kg"/>
    <n v="3"/>
    <n v="2.4900000000000002"/>
    <n v="7.4700000000000006"/>
    <m/>
    <x v="0"/>
    <n v="0"/>
    <n v="7.4700000000000006"/>
    <s v=""/>
  </r>
  <r>
    <n v="66"/>
    <x v="3"/>
    <x v="11"/>
    <s v="Unidade"/>
    <n v="1"/>
    <n v="2.89"/>
    <n v="2.89"/>
    <m/>
    <x v="0"/>
    <n v="0"/>
    <n v="2.89"/>
    <n v="13.16"/>
  </r>
  <r>
    <n v="67"/>
    <x v="3"/>
    <x v="7"/>
    <s v="Lata"/>
    <n v="100"/>
    <n v="2.19"/>
    <n v="219"/>
    <m/>
    <x v="4"/>
    <n v="0"/>
    <n v="219"/>
    <s v=""/>
  </r>
  <r>
    <n v="67"/>
    <x v="3"/>
    <x v="23"/>
    <s v="Garrafa"/>
    <n v="50"/>
    <n v="29.9"/>
    <n v="1495"/>
    <m/>
    <x v="4"/>
    <n v="15"/>
    <n v="1510"/>
    <n v="1729"/>
  </r>
  <r>
    <n v="68"/>
    <x v="3"/>
    <x v="39"/>
    <s v="Kg"/>
    <n v="1"/>
    <n v="2.8"/>
    <n v="2.8"/>
    <m/>
    <x v="0"/>
    <n v="0"/>
    <n v="2.8"/>
    <s v=""/>
  </r>
  <r>
    <n v="68"/>
    <x v="3"/>
    <x v="3"/>
    <s v="Unidade"/>
    <n v="1"/>
    <n v="2.99"/>
    <n v="2.99"/>
    <m/>
    <x v="0"/>
    <n v="0"/>
    <n v="2.99"/>
    <s v=""/>
  </r>
  <r>
    <n v="68"/>
    <x v="3"/>
    <x v="25"/>
    <s v="Kg"/>
    <n v="2"/>
    <n v="12"/>
    <n v="24"/>
    <m/>
    <x v="0"/>
    <n v="0"/>
    <n v="24"/>
    <s v=""/>
  </r>
  <r>
    <n v="68"/>
    <x v="3"/>
    <x v="17"/>
    <s v="Pacote"/>
    <n v="1"/>
    <n v="1.1499999999999999"/>
    <n v="1.1499999999999999"/>
    <m/>
    <x v="0"/>
    <n v="0"/>
    <n v="1.1499999999999999"/>
    <s v=""/>
  </r>
  <r>
    <n v="68"/>
    <x v="3"/>
    <x v="0"/>
    <s v="Kg"/>
    <n v="2"/>
    <n v="2.4900000000000002"/>
    <n v="4.9800000000000004"/>
    <m/>
    <x v="0"/>
    <n v="0"/>
    <n v="4.9800000000000004"/>
    <s v=""/>
  </r>
  <r>
    <n v="68"/>
    <x v="3"/>
    <x v="16"/>
    <s v="Pacote"/>
    <n v="1"/>
    <n v="1.99"/>
    <n v="1.99"/>
    <m/>
    <x v="0"/>
    <n v="0"/>
    <n v="1.99"/>
    <s v=""/>
  </r>
  <r>
    <n v="68"/>
    <x v="3"/>
    <x v="19"/>
    <s v="Kg"/>
    <n v="1"/>
    <n v="7"/>
    <n v="7"/>
    <m/>
    <x v="0"/>
    <n v="0"/>
    <n v="7"/>
    <s v=""/>
  </r>
  <r>
    <n v="68"/>
    <x v="3"/>
    <x v="18"/>
    <s v="Pacote"/>
    <n v="1"/>
    <n v="1.1499999999999999"/>
    <n v="1.1499999999999999"/>
    <m/>
    <x v="0"/>
    <n v="0"/>
    <n v="1.1499999999999999"/>
    <s v=""/>
  </r>
  <r>
    <n v="68"/>
    <x v="3"/>
    <x v="21"/>
    <s v="Kg"/>
    <n v="1"/>
    <n v="6.8"/>
    <n v="6.8"/>
    <m/>
    <x v="0"/>
    <n v="0"/>
    <n v="6.8"/>
    <s v=""/>
  </r>
  <r>
    <n v="68"/>
    <x v="3"/>
    <x v="13"/>
    <s v="Kg"/>
    <n v="1"/>
    <n v="25.9"/>
    <n v="25.9"/>
    <m/>
    <x v="0"/>
    <n v="0"/>
    <n v="25.9"/>
    <n v="78.759999999999991"/>
  </r>
  <r>
    <n v="69"/>
    <x v="4"/>
    <x v="39"/>
    <s v="Kg"/>
    <n v="1"/>
    <n v="2.8"/>
    <n v="2.8"/>
    <m/>
    <x v="2"/>
    <n v="0"/>
    <n v="2.8"/>
    <s v=""/>
  </r>
  <r>
    <n v="69"/>
    <x v="4"/>
    <x v="3"/>
    <s v="Unidade"/>
    <n v="2"/>
    <n v="2.99"/>
    <n v="5.98"/>
    <m/>
    <x v="2"/>
    <n v="0"/>
    <n v="5.98"/>
    <s v=""/>
  </r>
  <r>
    <n v="69"/>
    <x v="4"/>
    <x v="25"/>
    <s v="Kg"/>
    <n v="1"/>
    <n v="12"/>
    <n v="12"/>
    <m/>
    <x v="2"/>
    <n v="0"/>
    <n v="12"/>
    <s v=""/>
  </r>
  <r>
    <n v="69"/>
    <x v="4"/>
    <x v="17"/>
    <s v="Pacote"/>
    <n v="3"/>
    <n v="1.1499999999999999"/>
    <n v="3.4499999999999997"/>
    <m/>
    <x v="2"/>
    <n v="0"/>
    <n v="3.4499999999999997"/>
    <s v=""/>
  </r>
  <r>
    <n v="69"/>
    <x v="4"/>
    <x v="0"/>
    <s v="Kg"/>
    <n v="1"/>
    <n v="2.4900000000000002"/>
    <n v="2.4900000000000002"/>
    <m/>
    <x v="2"/>
    <n v="0"/>
    <n v="2.4900000000000002"/>
    <s v=""/>
  </r>
  <r>
    <n v="69"/>
    <x v="4"/>
    <x v="16"/>
    <s v="Pacote"/>
    <n v="1"/>
    <n v="1.99"/>
    <n v="1.99"/>
    <m/>
    <x v="2"/>
    <n v="0"/>
    <n v="1.99"/>
    <s v=""/>
  </r>
  <r>
    <n v="69"/>
    <x v="4"/>
    <x v="19"/>
    <s v="Kg"/>
    <n v="1"/>
    <n v="7"/>
    <n v="7"/>
    <m/>
    <x v="2"/>
    <n v="0"/>
    <n v="7"/>
    <s v=""/>
  </r>
  <r>
    <n v="69"/>
    <x v="4"/>
    <x v="18"/>
    <s v="Pacote"/>
    <n v="4"/>
    <n v="1.1499999999999999"/>
    <n v="4.5999999999999996"/>
    <m/>
    <x v="2"/>
    <n v="0"/>
    <n v="4.5999999999999996"/>
    <s v=""/>
  </r>
  <r>
    <n v="69"/>
    <x v="4"/>
    <x v="21"/>
    <s v="Kg"/>
    <n v="5"/>
    <n v="6.8"/>
    <n v="34"/>
    <m/>
    <x v="2"/>
    <n v="0"/>
    <n v="34"/>
    <s v=""/>
  </r>
  <r>
    <n v="69"/>
    <x v="4"/>
    <x v="32"/>
    <s v="Kg"/>
    <n v="1"/>
    <n v="4"/>
    <n v="4"/>
    <m/>
    <x v="2"/>
    <n v="0"/>
    <n v="4"/>
    <s v=""/>
  </r>
  <r>
    <n v="69"/>
    <x v="4"/>
    <x v="41"/>
    <s v="Pacote"/>
    <n v="6"/>
    <n v="0.79"/>
    <n v="4.74"/>
    <m/>
    <x v="2"/>
    <n v="0"/>
    <n v="4.74"/>
    <s v=""/>
  </r>
  <r>
    <n v="69"/>
    <x v="4"/>
    <x v="10"/>
    <s v="Kg"/>
    <n v="7"/>
    <n v="15.9"/>
    <n v="111.3"/>
    <m/>
    <x v="2"/>
    <n v="0"/>
    <n v="111.3"/>
    <s v=""/>
  </r>
  <r>
    <n v="69"/>
    <x v="4"/>
    <x v="2"/>
    <s v="Kg"/>
    <n v="3"/>
    <n v="3.99"/>
    <n v="11.97"/>
    <m/>
    <x v="2"/>
    <n v="0"/>
    <n v="11.97"/>
    <s v=""/>
  </r>
  <r>
    <n v="69"/>
    <x v="4"/>
    <x v="7"/>
    <s v="Lata"/>
    <n v="5"/>
    <n v="2.19"/>
    <n v="10.95"/>
    <m/>
    <x v="2"/>
    <n v="0"/>
    <n v="10.95"/>
    <s v=""/>
  </r>
  <r>
    <n v="69"/>
    <x v="4"/>
    <x v="4"/>
    <s v="Barra"/>
    <n v="4"/>
    <n v="4.99"/>
    <n v="19.96"/>
    <m/>
    <x v="2"/>
    <n v="0"/>
    <n v="19.96"/>
    <s v=""/>
  </r>
  <r>
    <n v="69"/>
    <x v="4"/>
    <x v="42"/>
    <s v="Maço"/>
    <n v="2"/>
    <n v="6.75"/>
    <n v="13.5"/>
    <m/>
    <x v="2"/>
    <n v="0"/>
    <n v="13.5"/>
    <s v=""/>
  </r>
  <r>
    <n v="69"/>
    <x v="4"/>
    <x v="14"/>
    <s v="Unidade"/>
    <n v="1"/>
    <n v="2.6"/>
    <n v="2.6"/>
    <m/>
    <x v="2"/>
    <n v="0"/>
    <n v="2.6"/>
    <s v=""/>
  </r>
  <r>
    <n v="69"/>
    <x v="4"/>
    <x v="28"/>
    <s v="Kg"/>
    <n v="1"/>
    <n v="7"/>
    <n v="7"/>
    <m/>
    <x v="2"/>
    <n v="0"/>
    <n v="7"/>
    <s v=""/>
  </r>
  <r>
    <n v="69"/>
    <x v="4"/>
    <x v="43"/>
    <s v="Unidade"/>
    <n v="1"/>
    <n v="4.5"/>
    <n v="4.5"/>
    <m/>
    <x v="2"/>
    <n v="10"/>
    <n v="14.5"/>
    <n v="274.83"/>
  </r>
  <r>
    <n v="70"/>
    <x v="4"/>
    <x v="39"/>
    <s v="Kg"/>
    <n v="1"/>
    <n v="2.8"/>
    <n v="2.8"/>
    <m/>
    <x v="4"/>
    <n v="0"/>
    <n v="2.8"/>
    <s v=""/>
  </r>
  <r>
    <n v="70"/>
    <x v="4"/>
    <x v="3"/>
    <s v="Unidade"/>
    <n v="2"/>
    <n v="2.99"/>
    <n v="5.98"/>
    <m/>
    <x v="4"/>
    <n v="0"/>
    <n v="5.98"/>
    <s v=""/>
  </r>
  <r>
    <n v="70"/>
    <x v="4"/>
    <x v="25"/>
    <s v="Kg"/>
    <n v="1"/>
    <n v="12"/>
    <n v="12"/>
    <m/>
    <x v="4"/>
    <n v="0"/>
    <n v="12"/>
    <s v=""/>
  </r>
  <r>
    <n v="70"/>
    <x v="4"/>
    <x v="17"/>
    <s v="Pacote"/>
    <n v="1"/>
    <n v="1.1499999999999999"/>
    <n v="1.1499999999999999"/>
    <m/>
    <x v="4"/>
    <n v="0"/>
    <n v="1.1499999999999999"/>
    <s v=""/>
  </r>
  <r>
    <n v="70"/>
    <x v="4"/>
    <x v="0"/>
    <s v="Kg"/>
    <n v="1"/>
    <n v="2.4900000000000002"/>
    <n v="2.4900000000000002"/>
    <m/>
    <x v="4"/>
    <n v="0"/>
    <n v="2.4900000000000002"/>
    <s v=""/>
  </r>
  <r>
    <n v="70"/>
    <x v="4"/>
    <x v="16"/>
    <s v="Pacote"/>
    <n v="3"/>
    <n v="1.99"/>
    <n v="5.97"/>
    <m/>
    <x v="4"/>
    <n v="15"/>
    <n v="20.97"/>
    <n v="45.39"/>
  </r>
  <r>
    <n v="71"/>
    <x v="4"/>
    <x v="5"/>
    <s v="Litro"/>
    <n v="2"/>
    <n v="2.39"/>
    <n v="4.78"/>
    <m/>
    <x v="0"/>
    <n v="0"/>
    <n v="4.78"/>
    <s v=""/>
  </r>
  <r>
    <n v="71"/>
    <x v="4"/>
    <x v="11"/>
    <s v="Unidade"/>
    <n v="1"/>
    <n v="2.89"/>
    <n v="2.89"/>
    <m/>
    <x v="0"/>
    <n v="0"/>
    <n v="2.89"/>
    <n v="7.67"/>
  </r>
  <r>
    <n v="72"/>
    <x v="4"/>
    <x v="8"/>
    <s v="Kg"/>
    <n v="1"/>
    <n v="5.82"/>
    <n v="5.82"/>
    <m/>
    <x v="0"/>
    <n v="0"/>
    <n v="5.82"/>
    <s v=""/>
  </r>
  <r>
    <n v="72"/>
    <x v="4"/>
    <x v="33"/>
    <s v="Kg"/>
    <n v="1"/>
    <n v="10"/>
    <n v="10"/>
    <m/>
    <x v="0"/>
    <n v="0"/>
    <n v="10"/>
    <s v=""/>
  </r>
  <r>
    <n v="72"/>
    <x v="4"/>
    <x v="25"/>
    <s v="Kg"/>
    <n v="1"/>
    <n v="12"/>
    <n v="12"/>
    <m/>
    <x v="0"/>
    <n v="0"/>
    <n v="12"/>
    <s v=""/>
  </r>
  <r>
    <n v="72"/>
    <x v="4"/>
    <x v="39"/>
    <s v="Kg"/>
    <n v="1"/>
    <n v="2.8"/>
    <n v="2.8"/>
    <m/>
    <x v="0"/>
    <n v="0"/>
    <n v="2.8"/>
    <s v=""/>
  </r>
  <r>
    <n v="72"/>
    <x v="4"/>
    <x v="10"/>
    <s v="Kg"/>
    <n v="1"/>
    <n v="15.9"/>
    <n v="15.9"/>
    <m/>
    <x v="0"/>
    <n v="0"/>
    <n v="15.9"/>
    <s v=""/>
  </r>
  <r>
    <n v="72"/>
    <x v="4"/>
    <x v="28"/>
    <s v="Kg"/>
    <n v="1"/>
    <n v="7"/>
    <n v="7"/>
    <m/>
    <x v="0"/>
    <n v="0"/>
    <n v="7"/>
    <s v=""/>
  </r>
  <r>
    <n v="72"/>
    <x v="4"/>
    <x v="3"/>
    <s v="Unidade"/>
    <n v="1"/>
    <n v="2.99"/>
    <n v="2.99"/>
    <m/>
    <x v="0"/>
    <n v="0"/>
    <n v="2.99"/>
    <n v="56.510000000000005"/>
  </r>
  <r>
    <n v="73"/>
    <x v="4"/>
    <x v="21"/>
    <s v="Kg"/>
    <n v="2"/>
    <n v="6.8"/>
    <n v="13.6"/>
    <m/>
    <x v="3"/>
    <n v="0"/>
    <n v="13.6"/>
    <s v=""/>
  </r>
  <r>
    <n v="73"/>
    <x v="4"/>
    <x v="13"/>
    <s v="Kg"/>
    <n v="1"/>
    <n v="25.9"/>
    <n v="25.9"/>
    <m/>
    <x v="3"/>
    <n v="0"/>
    <n v="25.9"/>
    <s v=""/>
  </r>
  <r>
    <n v="73"/>
    <x v="4"/>
    <x v="20"/>
    <s v="Kg"/>
    <n v="2"/>
    <n v="4.5"/>
    <n v="9"/>
    <m/>
    <x v="3"/>
    <n v="7"/>
    <n v="16"/>
    <n v="55.5"/>
  </r>
  <r>
    <n v="74"/>
    <x v="4"/>
    <x v="6"/>
    <s v="Litro"/>
    <n v="2"/>
    <n v="1.49"/>
    <n v="2.98"/>
    <m/>
    <x v="0"/>
    <n v="0"/>
    <n v="2.98"/>
    <s v=""/>
  </r>
  <r>
    <n v="74"/>
    <x v="4"/>
    <x v="27"/>
    <s v="Kg"/>
    <n v="1"/>
    <n v="2.9"/>
    <n v="2.9"/>
    <m/>
    <x v="0"/>
    <n v="0"/>
    <n v="2.9"/>
    <n v="5.88"/>
  </r>
  <r>
    <n v="75"/>
    <x v="4"/>
    <x v="25"/>
    <s v="Kg"/>
    <n v="3"/>
    <n v="12"/>
    <n v="36"/>
    <m/>
    <x v="4"/>
    <n v="0"/>
    <n v="36"/>
    <s v=""/>
  </r>
  <r>
    <n v="75"/>
    <x v="4"/>
    <x v="39"/>
    <s v="Kg"/>
    <n v="2"/>
    <n v="2.8"/>
    <n v="5.6"/>
    <m/>
    <x v="4"/>
    <n v="15"/>
    <n v="20.6"/>
    <n v="56.6"/>
  </r>
  <r>
    <n v="76"/>
    <x v="4"/>
    <x v="0"/>
    <s v="Kg"/>
    <n v="10"/>
    <n v="2.4900000000000002"/>
    <n v="24.900000000000002"/>
    <m/>
    <x v="0"/>
    <n v="0"/>
    <n v="24.900000000000002"/>
    <s v=""/>
  </r>
  <r>
    <n v="76"/>
    <x v="4"/>
    <x v="12"/>
    <s v="Kg"/>
    <n v="5"/>
    <n v="6.98"/>
    <n v="34.900000000000006"/>
    <m/>
    <x v="0"/>
    <n v="0"/>
    <n v="34.900000000000006"/>
    <s v=""/>
  </r>
  <r>
    <n v="76"/>
    <x v="4"/>
    <x v="36"/>
    <s v="Unidade"/>
    <n v="2"/>
    <n v="18.899999999999999"/>
    <n v="37.799999999999997"/>
    <m/>
    <x v="0"/>
    <n v="0"/>
    <n v="37.799999999999997"/>
    <s v=""/>
  </r>
  <r>
    <n v="76"/>
    <x v="4"/>
    <x v="18"/>
    <s v="Pacote"/>
    <n v="1"/>
    <n v="1.1499999999999999"/>
    <n v="1.1499999999999999"/>
    <m/>
    <x v="0"/>
    <n v="0"/>
    <n v="1.1499999999999999"/>
    <s v=""/>
  </r>
  <r>
    <n v="76"/>
    <x v="4"/>
    <x v="11"/>
    <s v="Unidade"/>
    <n v="2"/>
    <n v="2.89"/>
    <n v="5.78"/>
    <m/>
    <x v="0"/>
    <n v="0"/>
    <n v="5.78"/>
    <s v=""/>
  </r>
  <r>
    <n v="76"/>
    <x v="4"/>
    <x v="39"/>
    <s v="Kg"/>
    <n v="1"/>
    <n v="2.8"/>
    <n v="2.8"/>
    <m/>
    <x v="0"/>
    <n v="0"/>
    <n v="2.8"/>
    <s v=""/>
  </r>
  <r>
    <n v="76"/>
    <x v="4"/>
    <x v="3"/>
    <s v="Unidade"/>
    <n v="2"/>
    <n v="2.99"/>
    <n v="5.98"/>
    <m/>
    <x v="0"/>
    <n v="0"/>
    <n v="5.98"/>
    <s v=""/>
  </r>
  <r>
    <n v="76"/>
    <x v="4"/>
    <x v="34"/>
    <s v="Kg"/>
    <n v="1"/>
    <n v="3"/>
    <n v="3"/>
    <m/>
    <x v="0"/>
    <n v="0"/>
    <n v="3"/>
    <s v=""/>
  </r>
  <r>
    <n v="76"/>
    <x v="4"/>
    <x v="1"/>
    <s v="Kg"/>
    <n v="5"/>
    <n v="4.28"/>
    <n v="21.400000000000002"/>
    <m/>
    <x v="0"/>
    <n v="0"/>
    <n v="21.400000000000002"/>
    <n v="137.71"/>
  </r>
  <r>
    <n v="77"/>
    <x v="5"/>
    <x v="7"/>
    <s v="Lata"/>
    <n v="5"/>
    <n v="2.19"/>
    <n v="10.95"/>
    <m/>
    <x v="3"/>
    <n v="0"/>
    <n v="10.95"/>
    <s v=""/>
  </r>
  <r>
    <n v="77"/>
    <x v="5"/>
    <x v="21"/>
    <s v="Kg"/>
    <n v="2"/>
    <n v="6.8"/>
    <n v="13.6"/>
    <m/>
    <x v="3"/>
    <n v="0"/>
    <n v="13.6"/>
    <s v=""/>
  </r>
  <r>
    <n v="77"/>
    <x v="5"/>
    <x v="24"/>
    <s v="Garrafa"/>
    <n v="1"/>
    <n v="54.9"/>
    <n v="54.9"/>
    <m/>
    <x v="3"/>
    <n v="0"/>
    <n v="54.9"/>
    <s v=""/>
  </r>
  <r>
    <n v="77"/>
    <x v="5"/>
    <x v="31"/>
    <s v="Unidade"/>
    <n v="1"/>
    <n v="10"/>
    <n v="10"/>
    <m/>
    <x v="3"/>
    <n v="0"/>
    <n v="10"/>
    <s v=""/>
  </r>
  <r>
    <n v="77"/>
    <x v="5"/>
    <x v="30"/>
    <s v="Kg"/>
    <n v="1"/>
    <n v="3"/>
    <n v="3"/>
    <m/>
    <x v="3"/>
    <n v="0"/>
    <n v="3"/>
    <s v=""/>
  </r>
  <r>
    <n v="77"/>
    <x v="5"/>
    <x v="25"/>
    <s v="Kg"/>
    <n v="1"/>
    <n v="12"/>
    <n v="12"/>
    <m/>
    <x v="3"/>
    <n v="0"/>
    <n v="12"/>
    <s v=""/>
  </r>
  <r>
    <n v="77"/>
    <x v="5"/>
    <x v="10"/>
    <s v="Kg"/>
    <n v="10"/>
    <n v="15.9"/>
    <n v="159"/>
    <m/>
    <x v="3"/>
    <n v="0"/>
    <n v="159"/>
    <s v=""/>
  </r>
  <r>
    <n v="77"/>
    <x v="5"/>
    <x v="13"/>
    <s v="Kg"/>
    <n v="6"/>
    <n v="25.9"/>
    <n v="155.39999999999998"/>
    <m/>
    <x v="3"/>
    <n v="0"/>
    <n v="155.39999999999998"/>
    <s v=""/>
  </r>
  <r>
    <n v="77"/>
    <x v="5"/>
    <x v="40"/>
    <s v="Kg"/>
    <n v="2"/>
    <n v="24"/>
    <n v="48"/>
    <m/>
    <x v="3"/>
    <n v="0"/>
    <n v="48"/>
    <s v=""/>
  </r>
  <r>
    <n v="77"/>
    <x v="5"/>
    <x v="18"/>
    <s v="Pacote"/>
    <n v="1"/>
    <n v="1.1499999999999999"/>
    <n v="1.1499999999999999"/>
    <m/>
    <x v="3"/>
    <n v="0"/>
    <n v="1.1499999999999999"/>
    <s v=""/>
  </r>
  <r>
    <n v="77"/>
    <x v="5"/>
    <x v="38"/>
    <s v="Kg"/>
    <n v="2"/>
    <n v="6.9"/>
    <n v="13.8"/>
    <m/>
    <x v="3"/>
    <n v="0"/>
    <n v="13.8"/>
    <s v=""/>
  </r>
  <r>
    <n v="77"/>
    <x v="5"/>
    <x v="33"/>
    <s v="Kg"/>
    <n v="1"/>
    <n v="10"/>
    <n v="10"/>
    <m/>
    <x v="3"/>
    <n v="0"/>
    <n v="10"/>
    <s v=""/>
  </r>
  <r>
    <n v="77"/>
    <x v="5"/>
    <x v="39"/>
    <s v="Kg"/>
    <n v="1"/>
    <n v="2.8"/>
    <n v="2.8"/>
    <m/>
    <x v="3"/>
    <n v="0"/>
    <n v="2.8"/>
    <s v=""/>
  </r>
  <r>
    <n v="77"/>
    <x v="5"/>
    <x v="19"/>
    <s v="Kg"/>
    <n v="2"/>
    <n v="7"/>
    <n v="14"/>
    <m/>
    <x v="3"/>
    <n v="0"/>
    <n v="14"/>
    <s v=""/>
  </r>
  <r>
    <n v="77"/>
    <x v="5"/>
    <x v="9"/>
    <s v="Kg"/>
    <n v="1"/>
    <n v="9.58"/>
    <n v="9.58"/>
    <m/>
    <x v="3"/>
    <n v="0"/>
    <n v="9.58"/>
    <s v=""/>
  </r>
  <r>
    <n v="77"/>
    <x v="5"/>
    <x v="8"/>
    <s v="Kg"/>
    <n v="5"/>
    <n v="5.82"/>
    <n v="29.1"/>
    <m/>
    <x v="3"/>
    <n v="0"/>
    <n v="29.1"/>
    <s v=""/>
  </r>
  <r>
    <n v="77"/>
    <x v="5"/>
    <x v="4"/>
    <s v="Barra"/>
    <n v="1"/>
    <n v="4.99"/>
    <n v="4.99"/>
    <m/>
    <x v="3"/>
    <n v="0"/>
    <n v="4.99"/>
    <s v=""/>
  </r>
  <r>
    <n v="77"/>
    <x v="5"/>
    <x v="3"/>
    <s v="Unidade"/>
    <n v="1"/>
    <n v="2.99"/>
    <n v="2.99"/>
    <m/>
    <x v="3"/>
    <n v="0"/>
    <n v="2.99"/>
    <s v=""/>
  </r>
  <r>
    <n v="77"/>
    <x v="5"/>
    <x v="35"/>
    <s v="Kg"/>
    <n v="2"/>
    <n v="8"/>
    <n v="16"/>
    <m/>
    <x v="3"/>
    <n v="0"/>
    <n v="16"/>
    <s v=""/>
  </r>
  <r>
    <n v="77"/>
    <x v="5"/>
    <x v="22"/>
    <s v="Litro"/>
    <n v="3"/>
    <n v="3.45"/>
    <n v="10.350000000000001"/>
    <m/>
    <x v="3"/>
    <n v="7"/>
    <n v="17.350000000000001"/>
    <n v="588.61"/>
  </r>
  <r>
    <n v="78"/>
    <x v="5"/>
    <x v="32"/>
    <s v="Kg"/>
    <n v="2"/>
    <n v="4"/>
    <n v="8"/>
    <m/>
    <x v="0"/>
    <n v="0"/>
    <n v="8"/>
    <s v=""/>
  </r>
  <r>
    <n v="78"/>
    <x v="5"/>
    <x v="3"/>
    <s v="Unidade"/>
    <n v="3"/>
    <n v="2.99"/>
    <n v="8.9700000000000006"/>
    <m/>
    <x v="0"/>
    <n v="0"/>
    <n v="8.9700000000000006"/>
    <s v=""/>
  </r>
  <r>
    <n v="78"/>
    <x v="5"/>
    <x v="6"/>
    <s v="Litro"/>
    <n v="5"/>
    <n v="1.49"/>
    <n v="7.45"/>
    <m/>
    <x v="0"/>
    <n v="0"/>
    <n v="7.45"/>
    <s v=""/>
  </r>
  <r>
    <n v="78"/>
    <x v="5"/>
    <x v="18"/>
    <s v="Pacote"/>
    <n v="1"/>
    <n v="1.1499999999999999"/>
    <n v="1.1499999999999999"/>
    <m/>
    <x v="0"/>
    <n v="0"/>
    <n v="1.1499999999999999"/>
    <s v=""/>
  </r>
  <r>
    <n v="78"/>
    <x v="5"/>
    <x v="42"/>
    <s v="Maço"/>
    <n v="2"/>
    <n v="6.75"/>
    <n v="13.5"/>
    <m/>
    <x v="0"/>
    <n v="0"/>
    <n v="13.5"/>
    <s v=""/>
  </r>
  <r>
    <n v="78"/>
    <x v="5"/>
    <x v="35"/>
    <s v="Kg"/>
    <n v="2"/>
    <n v="8"/>
    <n v="16"/>
    <m/>
    <x v="0"/>
    <n v="0"/>
    <n v="16"/>
    <n v="55.069999999999993"/>
  </r>
  <r>
    <n v="79"/>
    <x v="5"/>
    <x v="2"/>
    <s v="Kg"/>
    <n v="2"/>
    <n v="3.99"/>
    <n v="7.98"/>
    <m/>
    <x v="0"/>
    <n v="0"/>
    <n v="7.98"/>
    <s v=""/>
  </r>
  <r>
    <n v="79"/>
    <x v="5"/>
    <x v="25"/>
    <s v="Kg"/>
    <n v="1"/>
    <n v="12"/>
    <n v="12"/>
    <m/>
    <x v="0"/>
    <n v="0"/>
    <n v="12"/>
    <s v=""/>
  </r>
  <r>
    <n v="79"/>
    <x v="5"/>
    <x v="0"/>
    <s v="Kg"/>
    <n v="10"/>
    <n v="2.4900000000000002"/>
    <n v="24.900000000000002"/>
    <m/>
    <x v="0"/>
    <n v="0"/>
    <n v="24.900000000000002"/>
    <s v=""/>
  </r>
  <r>
    <n v="79"/>
    <x v="5"/>
    <x v="1"/>
    <s v="Kg"/>
    <n v="5"/>
    <n v="4.28"/>
    <n v="21.400000000000002"/>
    <m/>
    <x v="0"/>
    <n v="0"/>
    <n v="21.400000000000002"/>
    <s v=""/>
  </r>
  <r>
    <n v="79"/>
    <x v="5"/>
    <x v="36"/>
    <s v="Unidade"/>
    <n v="1"/>
    <n v="18.899999999999999"/>
    <n v="18.899999999999999"/>
    <m/>
    <x v="0"/>
    <n v="0"/>
    <n v="18.899999999999999"/>
    <s v=""/>
  </r>
  <r>
    <n v="79"/>
    <x v="5"/>
    <x v="39"/>
    <s v="Kg"/>
    <n v="1"/>
    <n v="2.8"/>
    <n v="2.8"/>
    <m/>
    <x v="0"/>
    <n v="0"/>
    <n v="2.8"/>
    <s v=""/>
  </r>
  <r>
    <n v="79"/>
    <x v="5"/>
    <x v="6"/>
    <s v="Litro"/>
    <n v="5"/>
    <n v="1.49"/>
    <n v="7.45"/>
    <m/>
    <x v="0"/>
    <n v="0"/>
    <n v="7.45"/>
    <s v=""/>
  </r>
  <r>
    <n v="79"/>
    <x v="5"/>
    <x v="3"/>
    <s v="Unidade"/>
    <n v="1"/>
    <n v="2.99"/>
    <n v="2.99"/>
    <m/>
    <x v="0"/>
    <n v="0"/>
    <n v="2.99"/>
    <s v=""/>
  </r>
  <r>
    <n v="79"/>
    <x v="5"/>
    <x v="38"/>
    <s v="Kg"/>
    <n v="0.5"/>
    <n v="6.9"/>
    <n v="3.45"/>
    <m/>
    <x v="0"/>
    <n v="0"/>
    <n v="3.45"/>
    <n v="101.87"/>
  </r>
  <r>
    <n v="80"/>
    <x v="5"/>
    <x v="33"/>
    <s v="Kg"/>
    <n v="1"/>
    <n v="10"/>
    <n v="10"/>
    <m/>
    <x v="1"/>
    <n v="0"/>
    <n v="10"/>
    <s v=""/>
  </r>
  <r>
    <n v="80"/>
    <x v="5"/>
    <x v="14"/>
    <s v="Unidade"/>
    <n v="2"/>
    <n v="2.6"/>
    <n v="5.2"/>
    <m/>
    <x v="1"/>
    <n v="0"/>
    <n v="5.2"/>
    <s v=""/>
  </r>
  <r>
    <n v="80"/>
    <x v="5"/>
    <x v="24"/>
    <s v="Garrafa"/>
    <n v="3"/>
    <n v="54.9"/>
    <n v="164.7"/>
    <m/>
    <x v="1"/>
    <n v="0"/>
    <n v="164.7"/>
    <s v=""/>
  </r>
  <r>
    <n v="80"/>
    <x v="5"/>
    <x v="12"/>
    <s v="Kg"/>
    <n v="1"/>
    <n v="6.98"/>
    <n v="6.98"/>
    <m/>
    <x v="1"/>
    <n v="0"/>
    <n v="6.98"/>
    <s v=""/>
  </r>
  <r>
    <n v="80"/>
    <x v="5"/>
    <x v="32"/>
    <s v="Kg"/>
    <n v="2"/>
    <n v="4"/>
    <n v="8"/>
    <m/>
    <x v="1"/>
    <n v="0"/>
    <n v="8"/>
    <s v=""/>
  </r>
  <r>
    <n v="80"/>
    <x v="5"/>
    <x v="39"/>
    <s v="Kg"/>
    <n v="1"/>
    <n v="2.8"/>
    <n v="2.8"/>
    <m/>
    <x v="1"/>
    <n v="0"/>
    <n v="2.8"/>
    <s v=""/>
  </r>
  <r>
    <n v="80"/>
    <x v="5"/>
    <x v="10"/>
    <s v="Kg"/>
    <n v="5"/>
    <n v="15.9"/>
    <n v="79.5"/>
    <m/>
    <x v="1"/>
    <n v="0"/>
    <n v="79.5"/>
    <s v=""/>
  </r>
  <r>
    <n v="80"/>
    <x v="5"/>
    <x v="25"/>
    <s v="Kg"/>
    <n v="1"/>
    <n v="12"/>
    <n v="12"/>
    <m/>
    <x v="1"/>
    <n v="0"/>
    <n v="12"/>
    <s v=""/>
  </r>
  <r>
    <n v="80"/>
    <x v="5"/>
    <x v="6"/>
    <s v="Litro"/>
    <n v="5"/>
    <n v="1.49"/>
    <n v="7.45"/>
    <m/>
    <x v="1"/>
    <n v="0"/>
    <n v="7.45"/>
    <s v=""/>
  </r>
  <r>
    <n v="80"/>
    <x v="5"/>
    <x v="0"/>
    <s v="Kg"/>
    <n v="4"/>
    <n v="2.4900000000000002"/>
    <n v="9.9600000000000009"/>
    <m/>
    <x v="1"/>
    <n v="0"/>
    <n v="9.9600000000000009"/>
    <s v=""/>
  </r>
  <r>
    <n v="80"/>
    <x v="5"/>
    <x v="11"/>
    <s v="Unidade"/>
    <n v="1"/>
    <n v="2.89"/>
    <n v="2.89"/>
    <m/>
    <x v="1"/>
    <n v="0"/>
    <n v="2.89"/>
    <s v=""/>
  </r>
  <r>
    <n v="80"/>
    <x v="5"/>
    <x v="3"/>
    <s v="Unidade"/>
    <n v="1"/>
    <n v="2.99"/>
    <n v="2.99"/>
    <m/>
    <x v="1"/>
    <n v="0"/>
    <n v="2.99"/>
    <s v=""/>
  </r>
  <r>
    <n v="80"/>
    <x v="5"/>
    <x v="18"/>
    <s v="Pacote"/>
    <n v="1"/>
    <n v="1.1499999999999999"/>
    <n v="1.1499999999999999"/>
    <m/>
    <x v="1"/>
    <n v="0"/>
    <n v="1.1499999999999999"/>
    <s v=""/>
  </r>
  <r>
    <n v="80"/>
    <x v="5"/>
    <x v="21"/>
    <s v="Kg"/>
    <n v="1"/>
    <n v="6.8"/>
    <n v="6.8"/>
    <m/>
    <x v="1"/>
    <n v="0"/>
    <n v="6.8"/>
    <s v=""/>
  </r>
  <r>
    <n v="80"/>
    <x v="5"/>
    <x v="2"/>
    <s v="Kg"/>
    <n v="0.5"/>
    <n v="3.99"/>
    <n v="1.9950000000000001"/>
    <m/>
    <x v="1"/>
    <n v="0"/>
    <n v="1.9950000000000001"/>
    <s v=""/>
  </r>
  <r>
    <n v="80"/>
    <x v="5"/>
    <x v="1"/>
    <s v="Kg"/>
    <n v="3"/>
    <n v="4.28"/>
    <n v="12.84"/>
    <m/>
    <x v="1"/>
    <n v="0"/>
    <n v="12.84"/>
    <s v=""/>
  </r>
  <r>
    <n v="80"/>
    <x v="5"/>
    <x v="8"/>
    <s v="Kg"/>
    <n v="5"/>
    <n v="5.82"/>
    <n v="29.1"/>
    <m/>
    <x v="1"/>
    <n v="0"/>
    <n v="29.1"/>
    <s v=""/>
  </r>
  <r>
    <n v="80"/>
    <x v="5"/>
    <x v="34"/>
    <s v="Kg"/>
    <n v="1"/>
    <n v="3"/>
    <n v="3"/>
    <m/>
    <x v="1"/>
    <n v="0"/>
    <n v="3"/>
    <s v=""/>
  </r>
  <r>
    <n v="80"/>
    <x v="5"/>
    <x v="22"/>
    <s v="Litro"/>
    <n v="10"/>
    <n v="3.45"/>
    <n v="34.5"/>
    <m/>
    <x v="1"/>
    <n v="0"/>
    <n v="34.5"/>
    <s v=""/>
  </r>
  <r>
    <n v="80"/>
    <x v="5"/>
    <x v="38"/>
    <s v="Kg"/>
    <n v="1"/>
    <n v="6.9"/>
    <n v="6.9"/>
    <m/>
    <x v="1"/>
    <n v="0"/>
    <n v="6.9"/>
    <s v=""/>
  </r>
  <r>
    <n v="80"/>
    <x v="5"/>
    <x v="30"/>
    <s v="Kg"/>
    <n v="0.3"/>
    <n v="3"/>
    <n v="0.89999999999999991"/>
    <m/>
    <x v="1"/>
    <n v="0"/>
    <n v="0.89999999999999991"/>
    <s v=""/>
  </r>
  <r>
    <n v="80"/>
    <x v="5"/>
    <x v="20"/>
    <s v="Kg"/>
    <n v="1"/>
    <n v="4.5"/>
    <n v="4.5"/>
    <m/>
    <x v="1"/>
    <n v="0"/>
    <n v="4.5"/>
    <s v=""/>
  </r>
  <r>
    <n v="80"/>
    <x v="5"/>
    <x v="4"/>
    <s v="Barra"/>
    <n v="3"/>
    <n v="4.99"/>
    <n v="14.97"/>
    <m/>
    <x v="1"/>
    <n v="0"/>
    <n v="14.97"/>
    <s v=""/>
  </r>
  <r>
    <n v="80"/>
    <x v="5"/>
    <x v="16"/>
    <s v="Pacote"/>
    <n v="1"/>
    <n v="1.99"/>
    <n v="1.99"/>
    <m/>
    <x v="1"/>
    <n v="0"/>
    <n v="1.99"/>
    <s v=""/>
  </r>
  <r>
    <n v="80"/>
    <x v="5"/>
    <x v="42"/>
    <s v="Maço"/>
    <n v="2"/>
    <n v="6.75"/>
    <n v="13.5"/>
    <m/>
    <x v="1"/>
    <n v="0"/>
    <n v="13.5"/>
    <s v=""/>
  </r>
  <r>
    <n v="80"/>
    <x v="5"/>
    <x v="7"/>
    <s v="Lata"/>
    <n v="10"/>
    <n v="2.19"/>
    <n v="21.9"/>
    <m/>
    <x v="1"/>
    <n v="0"/>
    <n v="21.9"/>
    <s v=""/>
  </r>
  <r>
    <n v="80"/>
    <x v="5"/>
    <x v="35"/>
    <s v="Kg"/>
    <n v="2"/>
    <n v="8"/>
    <n v="16"/>
    <m/>
    <x v="1"/>
    <n v="0"/>
    <n v="16"/>
    <s v=""/>
  </r>
  <r>
    <n v="80"/>
    <x v="5"/>
    <x v="13"/>
    <s v="Kg"/>
    <n v="1"/>
    <n v="25.9"/>
    <n v="25.9"/>
    <m/>
    <x v="1"/>
    <n v="12.8"/>
    <n v="38.700000000000003"/>
    <n v="521.21499999999992"/>
  </r>
  <r>
    <n v="81"/>
    <x v="5"/>
    <x v="11"/>
    <s v="Unidade"/>
    <n v="1"/>
    <n v="2.89"/>
    <n v="2.89"/>
    <m/>
    <x v="2"/>
    <n v="0"/>
    <n v="2.89"/>
    <s v=""/>
  </r>
  <r>
    <n v="81"/>
    <x v="5"/>
    <x v="25"/>
    <s v="Kg"/>
    <n v="2"/>
    <n v="12"/>
    <n v="24"/>
    <m/>
    <x v="2"/>
    <n v="10"/>
    <n v="34"/>
    <n v="36.89"/>
  </r>
  <r>
    <n v="82"/>
    <x v="5"/>
    <x v="12"/>
    <s v="Kg"/>
    <n v="3"/>
    <n v="6.98"/>
    <n v="20.94"/>
    <m/>
    <x v="3"/>
    <n v="0"/>
    <n v="20.94"/>
    <s v=""/>
  </r>
  <r>
    <n v="82"/>
    <x v="5"/>
    <x v="39"/>
    <s v="Kg"/>
    <n v="1"/>
    <n v="2.8"/>
    <n v="2.8"/>
    <m/>
    <x v="3"/>
    <n v="0"/>
    <n v="2.8"/>
    <s v=""/>
  </r>
  <r>
    <n v="82"/>
    <x v="5"/>
    <x v="31"/>
    <s v="Unidade"/>
    <n v="1"/>
    <n v="10"/>
    <n v="10"/>
    <m/>
    <x v="3"/>
    <n v="0"/>
    <n v="10"/>
    <s v=""/>
  </r>
  <r>
    <n v="82"/>
    <x v="5"/>
    <x v="21"/>
    <s v="Kg"/>
    <n v="3"/>
    <n v="6.8"/>
    <n v="20.399999999999999"/>
    <m/>
    <x v="3"/>
    <n v="0"/>
    <n v="20.399999999999999"/>
    <s v=""/>
  </r>
  <r>
    <n v="82"/>
    <x v="5"/>
    <x v="6"/>
    <s v="Litro"/>
    <n v="10"/>
    <n v="1.49"/>
    <n v="14.9"/>
    <m/>
    <x v="3"/>
    <n v="7"/>
    <n v="21.9"/>
    <n v="76.039999999999992"/>
  </r>
  <r>
    <n v="83"/>
    <x v="5"/>
    <x v="10"/>
    <s v="Kg"/>
    <n v="5"/>
    <n v="15.9"/>
    <n v="79.5"/>
    <m/>
    <x v="0"/>
    <n v="0"/>
    <n v="79.5"/>
    <s v=""/>
  </r>
  <r>
    <n v="83"/>
    <x v="5"/>
    <x v="2"/>
    <s v="Kg"/>
    <n v="1"/>
    <n v="3.99"/>
    <n v="3.99"/>
    <m/>
    <x v="0"/>
    <n v="0"/>
    <n v="3.99"/>
    <n v="83.49"/>
  </r>
  <r>
    <n v="84"/>
    <x v="5"/>
    <x v="30"/>
    <s v="Kg"/>
    <n v="0.3"/>
    <n v="3"/>
    <n v="0.89999999999999991"/>
    <m/>
    <x v="0"/>
    <n v="0"/>
    <n v="0.89999999999999991"/>
    <s v=""/>
  </r>
  <r>
    <n v="84"/>
    <x v="5"/>
    <x v="13"/>
    <s v="Kg"/>
    <n v="1"/>
    <n v="25.9"/>
    <n v="25.9"/>
    <m/>
    <x v="0"/>
    <n v="0"/>
    <n v="25.9"/>
    <n v="26.799999999999997"/>
  </r>
  <r>
    <n v="85"/>
    <x v="5"/>
    <x v="23"/>
    <s v="Garrafa"/>
    <n v="5"/>
    <n v="29.9"/>
    <n v="149.5"/>
    <m/>
    <x v="0"/>
    <n v="0"/>
    <n v="149.5"/>
    <n v="149.5"/>
  </r>
  <r>
    <n v="86"/>
    <x v="5"/>
    <x v="42"/>
    <s v="Maço"/>
    <n v="1"/>
    <n v="6.75"/>
    <n v="6.75"/>
    <m/>
    <x v="0"/>
    <n v="0"/>
    <n v="6.75"/>
    <n v="6.75"/>
  </r>
  <r>
    <n v="87"/>
    <x v="5"/>
    <x v="29"/>
    <s v="Kg"/>
    <n v="1"/>
    <n v="5"/>
    <n v="5"/>
    <m/>
    <x v="2"/>
    <n v="0"/>
    <n v="5"/>
    <s v=""/>
  </r>
  <r>
    <n v="87"/>
    <x v="5"/>
    <x v="39"/>
    <s v="Kg"/>
    <n v="2"/>
    <n v="2.8"/>
    <n v="5.6"/>
    <m/>
    <x v="2"/>
    <n v="0"/>
    <n v="5.6"/>
    <s v=""/>
  </r>
  <r>
    <n v="87"/>
    <x v="5"/>
    <x v="7"/>
    <s v="Lata"/>
    <n v="1"/>
    <n v="2.19"/>
    <n v="2.19"/>
    <m/>
    <x v="2"/>
    <n v="0"/>
    <n v="2.19"/>
    <s v=""/>
  </r>
  <r>
    <n v="87"/>
    <x v="5"/>
    <x v="1"/>
    <s v="Kg"/>
    <n v="5"/>
    <n v="4.28"/>
    <n v="21.400000000000002"/>
    <m/>
    <x v="2"/>
    <n v="0"/>
    <n v="21.400000000000002"/>
    <s v=""/>
  </r>
  <r>
    <n v="87"/>
    <x v="5"/>
    <x v="35"/>
    <s v="Kg"/>
    <n v="1"/>
    <n v="8"/>
    <n v="8"/>
    <m/>
    <x v="2"/>
    <n v="0"/>
    <n v="8"/>
    <s v=""/>
  </r>
  <r>
    <n v="87"/>
    <x v="5"/>
    <x v="12"/>
    <s v="Kg"/>
    <n v="5"/>
    <n v="6.98"/>
    <n v="34.900000000000006"/>
    <m/>
    <x v="2"/>
    <n v="0"/>
    <n v="34.900000000000006"/>
    <s v=""/>
  </r>
  <r>
    <n v="87"/>
    <x v="5"/>
    <x v="3"/>
    <s v="Unidade"/>
    <n v="1"/>
    <n v="2.99"/>
    <n v="2.99"/>
    <m/>
    <x v="2"/>
    <n v="0"/>
    <n v="2.99"/>
    <s v=""/>
  </r>
  <r>
    <n v="87"/>
    <x v="5"/>
    <x v="21"/>
    <s v="Kg"/>
    <n v="3"/>
    <n v="6.8"/>
    <n v="20.399999999999999"/>
    <m/>
    <x v="2"/>
    <n v="0"/>
    <n v="20.399999999999999"/>
    <s v=""/>
  </r>
  <r>
    <n v="87"/>
    <x v="5"/>
    <x v="25"/>
    <s v="Kg"/>
    <n v="2"/>
    <n v="12"/>
    <n v="24"/>
    <m/>
    <x v="2"/>
    <n v="0"/>
    <n v="24"/>
    <s v=""/>
  </r>
  <r>
    <n v="87"/>
    <x v="5"/>
    <x v="14"/>
    <s v="Unidade"/>
    <n v="1"/>
    <n v="2.6"/>
    <n v="2.6"/>
    <m/>
    <x v="2"/>
    <n v="0"/>
    <n v="2.6"/>
    <s v=""/>
  </r>
  <r>
    <n v="87"/>
    <x v="5"/>
    <x v="20"/>
    <s v="Kg"/>
    <n v="1"/>
    <n v="4.5"/>
    <n v="4.5"/>
    <m/>
    <x v="2"/>
    <n v="10"/>
    <n v="14.5"/>
    <n v="141.57999999999998"/>
  </r>
  <r>
    <n v="88"/>
    <x v="5"/>
    <x v="39"/>
    <s v="Kg"/>
    <n v="2"/>
    <n v="2.8"/>
    <n v="5.6"/>
    <m/>
    <x v="0"/>
    <n v="0"/>
    <n v="5.6"/>
    <s v=""/>
  </r>
  <r>
    <n v="88"/>
    <x v="5"/>
    <x v="18"/>
    <s v="Pacote"/>
    <n v="1"/>
    <n v="1.1499999999999999"/>
    <n v="1.1499999999999999"/>
    <m/>
    <x v="0"/>
    <n v="0"/>
    <n v="1.1499999999999999"/>
    <s v=""/>
  </r>
  <r>
    <n v="88"/>
    <x v="5"/>
    <x v="25"/>
    <s v="Kg"/>
    <n v="3"/>
    <n v="12"/>
    <n v="36"/>
    <m/>
    <x v="0"/>
    <n v="0"/>
    <n v="36"/>
    <n v="42.75"/>
  </r>
  <r>
    <n v="89"/>
    <x v="5"/>
    <x v="3"/>
    <s v="Unidade"/>
    <n v="1"/>
    <n v="2.99"/>
    <n v="2.99"/>
    <m/>
    <x v="0"/>
    <n v="0"/>
    <n v="2.99"/>
    <s v=""/>
  </r>
  <r>
    <n v="89"/>
    <x v="5"/>
    <x v="36"/>
    <s v="Unidade"/>
    <n v="2"/>
    <n v="18.899999999999999"/>
    <n v="37.799999999999997"/>
    <m/>
    <x v="0"/>
    <n v="0"/>
    <n v="37.799999999999997"/>
    <n v="40.79"/>
  </r>
  <r>
    <n v="90"/>
    <x v="5"/>
    <x v="0"/>
    <s v="Kg"/>
    <n v="4"/>
    <n v="2.4900000000000002"/>
    <n v="9.9600000000000009"/>
    <m/>
    <x v="1"/>
    <n v="0"/>
    <n v="9.9600000000000009"/>
    <s v=""/>
  </r>
  <r>
    <n v="90"/>
    <x v="5"/>
    <x v="6"/>
    <s v="Litro"/>
    <n v="3"/>
    <n v="1.49"/>
    <n v="4.47"/>
    <m/>
    <x v="1"/>
    <n v="0"/>
    <n v="4.47"/>
    <s v=""/>
  </r>
  <r>
    <n v="90"/>
    <x v="5"/>
    <x v="33"/>
    <s v="Kg"/>
    <n v="1"/>
    <n v="10"/>
    <n v="10"/>
    <m/>
    <x v="1"/>
    <n v="0"/>
    <n v="10"/>
    <s v=""/>
  </r>
  <r>
    <n v="90"/>
    <x v="5"/>
    <x v="30"/>
    <s v="Kg"/>
    <n v="1"/>
    <n v="3"/>
    <n v="3"/>
    <m/>
    <x v="1"/>
    <n v="0"/>
    <n v="3"/>
    <s v=""/>
  </r>
  <r>
    <n v="90"/>
    <x v="5"/>
    <x v="10"/>
    <s v="Kg"/>
    <n v="5"/>
    <n v="15.9"/>
    <n v="79.5"/>
    <m/>
    <x v="1"/>
    <n v="0"/>
    <n v="79.5"/>
    <s v=""/>
  </r>
  <r>
    <n v="90"/>
    <x v="5"/>
    <x v="39"/>
    <s v="Kg"/>
    <n v="1"/>
    <n v="2.8"/>
    <n v="2.8"/>
    <m/>
    <x v="1"/>
    <n v="0"/>
    <n v="2.8"/>
    <s v=""/>
  </r>
  <r>
    <n v="90"/>
    <x v="5"/>
    <x v="8"/>
    <s v="Kg"/>
    <n v="10"/>
    <n v="5.82"/>
    <n v="58.2"/>
    <m/>
    <x v="1"/>
    <n v="0"/>
    <n v="58.2"/>
    <s v=""/>
  </r>
  <r>
    <n v="90"/>
    <x v="5"/>
    <x v="13"/>
    <s v="Kg"/>
    <n v="2"/>
    <n v="25.9"/>
    <n v="51.8"/>
    <m/>
    <x v="1"/>
    <n v="0"/>
    <n v="51.8"/>
    <s v=""/>
  </r>
  <r>
    <n v="90"/>
    <x v="5"/>
    <x v="25"/>
    <s v="Kg"/>
    <n v="1"/>
    <n v="12"/>
    <n v="12"/>
    <m/>
    <x v="1"/>
    <n v="0"/>
    <n v="12"/>
    <s v=""/>
  </r>
  <r>
    <n v="90"/>
    <x v="5"/>
    <x v="29"/>
    <s v="Kg"/>
    <n v="1"/>
    <n v="5"/>
    <n v="5"/>
    <m/>
    <x v="1"/>
    <n v="0"/>
    <n v="5"/>
    <s v=""/>
  </r>
  <r>
    <n v="90"/>
    <x v="5"/>
    <x v="12"/>
    <s v="Kg"/>
    <n v="10"/>
    <n v="6.98"/>
    <n v="69.800000000000011"/>
    <m/>
    <x v="1"/>
    <n v="0"/>
    <n v="69.800000000000011"/>
    <s v=""/>
  </r>
  <r>
    <n v="90"/>
    <x v="5"/>
    <x v="22"/>
    <s v="Litro"/>
    <n v="12"/>
    <n v="3.45"/>
    <n v="41.400000000000006"/>
    <m/>
    <x v="1"/>
    <n v="12.8"/>
    <n v="54.2"/>
    <n v="360.73"/>
  </r>
  <r>
    <n v="91"/>
    <x v="5"/>
    <x v="3"/>
    <s v="Unidade"/>
    <n v="1"/>
    <n v="2.99"/>
    <n v="2.99"/>
    <m/>
    <x v="3"/>
    <n v="0"/>
    <n v="2.99"/>
    <s v=""/>
  </r>
  <r>
    <n v="91"/>
    <x v="5"/>
    <x v="40"/>
    <s v="Kg"/>
    <n v="2"/>
    <n v="24"/>
    <n v="48"/>
    <m/>
    <x v="3"/>
    <n v="0"/>
    <n v="48"/>
    <s v=""/>
  </r>
  <r>
    <n v="91"/>
    <x v="5"/>
    <x v="35"/>
    <s v="Kg"/>
    <n v="2"/>
    <n v="8"/>
    <n v="16"/>
    <m/>
    <x v="3"/>
    <n v="7"/>
    <n v="23"/>
    <n v="73.990000000000009"/>
  </r>
  <r>
    <n v="92"/>
    <x v="5"/>
    <x v="27"/>
    <s v="Kg"/>
    <n v="1"/>
    <n v="2.9"/>
    <n v="2.9"/>
    <m/>
    <x v="0"/>
    <n v="0"/>
    <n v="2.9"/>
    <s v=""/>
  </r>
  <r>
    <n v="92"/>
    <x v="5"/>
    <x v="32"/>
    <s v="Kg"/>
    <n v="3"/>
    <n v="4"/>
    <n v="12"/>
    <m/>
    <x v="0"/>
    <n v="0"/>
    <n v="12"/>
    <n v="14.9"/>
  </r>
  <r>
    <n v="93"/>
    <x v="5"/>
    <x v="6"/>
    <s v="Litro"/>
    <n v="5"/>
    <n v="1.49"/>
    <n v="7.45"/>
    <m/>
    <x v="3"/>
    <n v="0"/>
    <n v="7.45"/>
    <s v=""/>
  </r>
  <r>
    <n v="93"/>
    <x v="5"/>
    <x v="43"/>
    <s v="Unidade"/>
    <n v="1"/>
    <n v="4.5"/>
    <n v="4.5"/>
    <m/>
    <x v="3"/>
    <n v="0"/>
    <n v="4.5"/>
    <s v=""/>
  </r>
  <r>
    <n v="93"/>
    <x v="5"/>
    <x v="25"/>
    <s v="Kg"/>
    <n v="2"/>
    <n v="12"/>
    <n v="24"/>
    <m/>
    <x v="3"/>
    <n v="0"/>
    <n v="24"/>
    <s v=""/>
  </r>
  <r>
    <n v="93"/>
    <x v="5"/>
    <x v="0"/>
    <s v="Kg"/>
    <n v="10"/>
    <n v="2.4900000000000002"/>
    <n v="24.900000000000002"/>
    <m/>
    <x v="3"/>
    <n v="0"/>
    <n v="24.900000000000002"/>
    <s v=""/>
  </r>
  <r>
    <n v="93"/>
    <x v="5"/>
    <x v="1"/>
    <s v="Kg"/>
    <n v="2"/>
    <n v="4.28"/>
    <n v="8.56"/>
    <m/>
    <x v="3"/>
    <n v="0"/>
    <n v="8.56"/>
    <s v=""/>
  </r>
  <r>
    <n v="93"/>
    <x v="5"/>
    <x v="11"/>
    <s v="Unidade"/>
    <n v="1"/>
    <n v="2.89"/>
    <n v="2.89"/>
    <m/>
    <x v="3"/>
    <n v="0"/>
    <n v="2.89"/>
    <s v=""/>
  </r>
  <r>
    <n v="93"/>
    <x v="5"/>
    <x v="14"/>
    <s v="Unidade"/>
    <n v="1"/>
    <n v="2.6"/>
    <n v="2.6"/>
    <m/>
    <x v="3"/>
    <n v="0"/>
    <n v="2.6"/>
    <s v=""/>
  </r>
  <r>
    <n v="93"/>
    <x v="5"/>
    <x v="38"/>
    <s v="Kg"/>
    <n v="2"/>
    <n v="6.9"/>
    <n v="13.8"/>
    <m/>
    <x v="3"/>
    <n v="0"/>
    <n v="13.8"/>
    <s v=""/>
  </r>
  <r>
    <n v="93"/>
    <x v="5"/>
    <x v="33"/>
    <s v="Kg"/>
    <n v="1"/>
    <n v="10"/>
    <n v="10"/>
    <m/>
    <x v="3"/>
    <n v="0"/>
    <n v="10"/>
    <s v=""/>
  </r>
  <r>
    <n v="93"/>
    <x v="5"/>
    <x v="7"/>
    <s v="Lata"/>
    <n v="15"/>
    <n v="2.19"/>
    <n v="32.85"/>
    <m/>
    <x v="3"/>
    <n v="0"/>
    <n v="32.85"/>
    <s v=""/>
  </r>
  <r>
    <n v="93"/>
    <x v="5"/>
    <x v="18"/>
    <s v="Pacote"/>
    <n v="1"/>
    <n v="1.1499999999999999"/>
    <n v="1.1499999999999999"/>
    <m/>
    <x v="3"/>
    <n v="0"/>
    <n v="1.1499999999999999"/>
    <s v=""/>
  </r>
  <r>
    <n v="93"/>
    <x v="5"/>
    <x v="10"/>
    <s v="Kg"/>
    <n v="5"/>
    <n v="15.9"/>
    <n v="79.5"/>
    <m/>
    <x v="3"/>
    <n v="0"/>
    <n v="79.5"/>
    <s v=""/>
  </r>
  <r>
    <n v="93"/>
    <x v="5"/>
    <x v="3"/>
    <s v="Unidade"/>
    <n v="2"/>
    <n v="2.99"/>
    <n v="5.98"/>
    <m/>
    <x v="3"/>
    <n v="0"/>
    <n v="5.98"/>
    <s v=""/>
  </r>
  <r>
    <n v="93"/>
    <x v="5"/>
    <x v="20"/>
    <s v="Kg"/>
    <n v="3"/>
    <n v="4.5"/>
    <n v="13.5"/>
    <m/>
    <x v="3"/>
    <n v="0"/>
    <n v="13.5"/>
    <s v=""/>
  </r>
  <r>
    <n v="93"/>
    <x v="5"/>
    <x v="8"/>
    <s v="Kg"/>
    <n v="5"/>
    <n v="5.82"/>
    <n v="29.1"/>
    <m/>
    <x v="3"/>
    <n v="0"/>
    <n v="29.1"/>
    <s v=""/>
  </r>
  <r>
    <n v="93"/>
    <x v="5"/>
    <x v="42"/>
    <s v="Maço"/>
    <n v="2"/>
    <n v="6.75"/>
    <n v="13.5"/>
    <m/>
    <x v="3"/>
    <n v="0"/>
    <n v="13.5"/>
    <s v=""/>
  </r>
  <r>
    <n v="93"/>
    <x v="5"/>
    <x v="12"/>
    <s v="Kg"/>
    <n v="7"/>
    <n v="6.98"/>
    <n v="48.86"/>
    <m/>
    <x v="3"/>
    <n v="0"/>
    <n v="48.86"/>
    <s v=""/>
  </r>
  <r>
    <n v="93"/>
    <x v="5"/>
    <x v="27"/>
    <s v="Kg"/>
    <n v="1"/>
    <n v="2.9"/>
    <n v="2.9"/>
    <m/>
    <x v="3"/>
    <n v="0"/>
    <n v="2.9"/>
    <s v=""/>
  </r>
  <r>
    <n v="93"/>
    <x v="5"/>
    <x v="39"/>
    <s v="Kg"/>
    <n v="2"/>
    <n v="2.8"/>
    <n v="5.6"/>
    <m/>
    <x v="3"/>
    <n v="0"/>
    <n v="5.6"/>
    <s v=""/>
  </r>
  <r>
    <n v="93"/>
    <x v="5"/>
    <x v="36"/>
    <s v="Unidade"/>
    <n v="1"/>
    <n v="18.899999999999999"/>
    <n v="18.899999999999999"/>
    <m/>
    <x v="3"/>
    <n v="0"/>
    <n v="18.899999999999999"/>
    <s v=""/>
  </r>
  <r>
    <n v="93"/>
    <x v="5"/>
    <x v="21"/>
    <s v="Kg"/>
    <n v="2"/>
    <n v="6.8"/>
    <n v="13.6"/>
    <m/>
    <x v="3"/>
    <n v="0"/>
    <n v="13.6"/>
    <s v=""/>
  </r>
  <r>
    <n v="93"/>
    <x v="5"/>
    <x v="13"/>
    <s v="Kg"/>
    <n v="1"/>
    <n v="25.9"/>
    <n v="25.9"/>
    <m/>
    <x v="3"/>
    <n v="0"/>
    <n v="25.9"/>
    <s v=""/>
  </r>
  <r>
    <n v="93"/>
    <x v="5"/>
    <x v="2"/>
    <s v="Kg"/>
    <n v="3"/>
    <n v="3.99"/>
    <n v="11.97"/>
    <m/>
    <x v="3"/>
    <n v="0"/>
    <n v="11.97"/>
    <s v=""/>
  </r>
  <r>
    <n v="93"/>
    <x v="5"/>
    <x v="19"/>
    <s v="Kg"/>
    <n v="1"/>
    <n v="7"/>
    <n v="7"/>
    <m/>
    <x v="3"/>
    <n v="0"/>
    <n v="7"/>
    <s v=""/>
  </r>
  <r>
    <n v="93"/>
    <x v="5"/>
    <x v="30"/>
    <s v="Kg"/>
    <n v="2"/>
    <n v="3"/>
    <n v="6"/>
    <m/>
    <x v="3"/>
    <n v="0"/>
    <n v="6"/>
    <s v=""/>
  </r>
  <r>
    <n v="93"/>
    <x v="5"/>
    <x v="16"/>
    <s v="Pacote"/>
    <n v="1"/>
    <n v="1.99"/>
    <n v="1.99"/>
    <m/>
    <x v="3"/>
    <n v="0"/>
    <n v="1.99"/>
    <s v=""/>
  </r>
  <r>
    <n v="93"/>
    <x v="5"/>
    <x v="34"/>
    <s v="Kg"/>
    <n v="1"/>
    <n v="3"/>
    <n v="3"/>
    <m/>
    <x v="3"/>
    <n v="0"/>
    <n v="3"/>
    <s v=""/>
  </r>
  <r>
    <n v="93"/>
    <x v="5"/>
    <x v="31"/>
    <s v="Unidade"/>
    <n v="1"/>
    <n v="10"/>
    <n v="10"/>
    <m/>
    <x v="3"/>
    <n v="0"/>
    <n v="10"/>
    <s v=""/>
  </r>
  <r>
    <n v="93"/>
    <x v="5"/>
    <x v="35"/>
    <s v="Kg"/>
    <n v="3"/>
    <n v="8"/>
    <n v="24"/>
    <m/>
    <x v="3"/>
    <n v="0"/>
    <n v="24"/>
    <s v=""/>
  </r>
  <r>
    <n v="93"/>
    <x v="5"/>
    <x v="29"/>
    <s v="Kg"/>
    <n v="1"/>
    <n v="5"/>
    <n v="5"/>
    <m/>
    <x v="3"/>
    <n v="0"/>
    <n v="5"/>
    <s v=""/>
  </r>
  <r>
    <n v="93"/>
    <x v="5"/>
    <x v="22"/>
    <s v="Litro"/>
    <n v="5"/>
    <n v="3.45"/>
    <n v="17.25"/>
    <m/>
    <x v="3"/>
    <n v="0"/>
    <n v="17.25"/>
    <s v=""/>
  </r>
  <r>
    <n v="93"/>
    <x v="5"/>
    <x v="9"/>
    <s v="Kg"/>
    <n v="1"/>
    <n v="9.58"/>
    <n v="9.58"/>
    <m/>
    <x v="3"/>
    <n v="0"/>
    <n v="9.58"/>
    <s v=""/>
  </r>
  <r>
    <n v="93"/>
    <x v="5"/>
    <x v="23"/>
    <s v="Garrafa"/>
    <n v="5"/>
    <n v="29.9"/>
    <n v="149.5"/>
    <m/>
    <x v="3"/>
    <n v="0"/>
    <n v="149.5"/>
    <s v=""/>
  </r>
  <r>
    <n v="93"/>
    <x v="5"/>
    <x v="4"/>
    <s v="Barra"/>
    <n v="1"/>
    <n v="4.99"/>
    <n v="4.99"/>
    <m/>
    <x v="3"/>
    <n v="0"/>
    <n v="4.99"/>
    <s v=""/>
  </r>
  <r>
    <n v="93"/>
    <x v="5"/>
    <x v="41"/>
    <s v="Pacote"/>
    <n v="2"/>
    <n v="0.79"/>
    <n v="1.58"/>
    <m/>
    <x v="3"/>
    <n v="0"/>
    <n v="1.58"/>
    <s v=""/>
  </r>
  <r>
    <n v="93"/>
    <x v="5"/>
    <x v="24"/>
    <s v="Garrafa"/>
    <n v="1"/>
    <n v="54.9"/>
    <n v="54.9"/>
    <m/>
    <x v="3"/>
    <n v="0"/>
    <n v="54.9"/>
    <s v=""/>
  </r>
  <r>
    <n v="93"/>
    <x v="5"/>
    <x v="26"/>
    <s v="Unidade"/>
    <n v="1"/>
    <n v="7"/>
    <n v="7"/>
    <m/>
    <x v="3"/>
    <n v="0"/>
    <n v="7"/>
    <s v=""/>
  </r>
  <r>
    <n v="93"/>
    <x v="5"/>
    <x v="43"/>
    <s v="Unidade"/>
    <n v="1"/>
    <n v="4.5"/>
    <n v="4.5"/>
    <m/>
    <x v="3"/>
    <n v="7"/>
    <n v="11.5"/>
    <n v="715.30000000000007"/>
  </r>
  <r>
    <n v="94"/>
    <x v="5"/>
    <x v="33"/>
    <s v="Kg"/>
    <n v="2"/>
    <n v="10"/>
    <n v="20"/>
    <m/>
    <x v="0"/>
    <n v="0"/>
    <n v="20"/>
    <s v=""/>
  </r>
  <r>
    <n v="94"/>
    <x v="5"/>
    <x v="42"/>
    <s v="Maço"/>
    <n v="1"/>
    <n v="6.75"/>
    <n v="6.75"/>
    <m/>
    <x v="0"/>
    <n v="0"/>
    <n v="6.75"/>
    <n v="26.75"/>
  </r>
  <r>
    <n v="95"/>
    <x v="5"/>
    <x v="25"/>
    <s v="Kg"/>
    <n v="1"/>
    <n v="12"/>
    <n v="12"/>
    <m/>
    <x v="3"/>
    <n v="0"/>
    <n v="12"/>
    <s v=""/>
  </r>
  <r>
    <n v="95"/>
    <x v="5"/>
    <x v="6"/>
    <s v="Litro"/>
    <n v="5"/>
    <n v="1.49"/>
    <n v="7.45"/>
    <m/>
    <x v="3"/>
    <n v="0"/>
    <n v="7.45"/>
    <s v=""/>
  </r>
  <r>
    <n v="95"/>
    <x v="5"/>
    <x v="18"/>
    <s v="Pacote"/>
    <n v="1"/>
    <n v="1.1499999999999999"/>
    <n v="1.1499999999999999"/>
    <m/>
    <x v="3"/>
    <n v="0"/>
    <n v="1.1499999999999999"/>
    <s v=""/>
  </r>
  <r>
    <n v="95"/>
    <x v="5"/>
    <x v="13"/>
    <s v="Kg"/>
    <n v="1"/>
    <n v="25.9"/>
    <n v="25.9"/>
    <m/>
    <x v="3"/>
    <n v="0"/>
    <n v="25.9"/>
    <s v=""/>
  </r>
  <r>
    <n v="95"/>
    <x v="5"/>
    <x v="10"/>
    <s v="Kg"/>
    <n v="5"/>
    <n v="15.9"/>
    <n v="79.5"/>
    <m/>
    <x v="3"/>
    <n v="0"/>
    <n v="79.5"/>
    <s v=""/>
  </r>
  <r>
    <n v="95"/>
    <x v="5"/>
    <x v="3"/>
    <s v="Unidade"/>
    <n v="2"/>
    <n v="2.99"/>
    <n v="5.98"/>
    <m/>
    <x v="3"/>
    <n v="0"/>
    <n v="5.98"/>
    <s v=""/>
  </r>
  <r>
    <n v="95"/>
    <x v="5"/>
    <x v="2"/>
    <s v="Kg"/>
    <n v="1"/>
    <n v="3.99"/>
    <n v="3.99"/>
    <m/>
    <x v="3"/>
    <n v="0"/>
    <n v="3.99"/>
    <s v=""/>
  </r>
  <r>
    <n v="95"/>
    <x v="5"/>
    <x v="8"/>
    <s v="Kg"/>
    <n v="3"/>
    <n v="5.82"/>
    <n v="17.46"/>
    <m/>
    <x v="3"/>
    <n v="0"/>
    <n v="17.46"/>
    <s v=""/>
  </r>
  <r>
    <n v="95"/>
    <x v="5"/>
    <x v="36"/>
    <s v="Unidade"/>
    <n v="1"/>
    <n v="18.899999999999999"/>
    <n v="18.899999999999999"/>
    <m/>
    <x v="3"/>
    <n v="0"/>
    <n v="18.899999999999999"/>
    <s v=""/>
  </r>
  <r>
    <n v="95"/>
    <x v="5"/>
    <x v="38"/>
    <s v="Kg"/>
    <n v="1"/>
    <n v="6.9"/>
    <n v="6.9"/>
    <m/>
    <x v="3"/>
    <n v="0"/>
    <n v="6.9"/>
    <s v=""/>
  </r>
  <r>
    <n v="95"/>
    <x v="5"/>
    <x v="12"/>
    <s v="Kg"/>
    <n v="3"/>
    <n v="6.98"/>
    <n v="20.94"/>
    <m/>
    <x v="3"/>
    <n v="0"/>
    <n v="20.94"/>
    <s v=""/>
  </r>
  <r>
    <n v="95"/>
    <x v="5"/>
    <x v="29"/>
    <s v="Kg"/>
    <n v="1"/>
    <n v="5"/>
    <n v="5"/>
    <m/>
    <x v="3"/>
    <n v="0"/>
    <n v="5"/>
    <s v=""/>
  </r>
  <r>
    <n v="95"/>
    <x v="5"/>
    <x v="7"/>
    <s v="Lata"/>
    <n v="4"/>
    <n v="2.19"/>
    <n v="8.76"/>
    <m/>
    <x v="3"/>
    <n v="0"/>
    <n v="8.76"/>
    <s v=""/>
  </r>
  <r>
    <n v="95"/>
    <x v="5"/>
    <x v="33"/>
    <s v="Kg"/>
    <n v="2"/>
    <n v="10"/>
    <n v="20"/>
    <m/>
    <x v="3"/>
    <n v="0"/>
    <n v="20"/>
    <s v=""/>
  </r>
  <r>
    <n v="95"/>
    <x v="5"/>
    <x v="39"/>
    <s v="Kg"/>
    <n v="1"/>
    <n v="2.8"/>
    <n v="2.8"/>
    <m/>
    <x v="3"/>
    <n v="0"/>
    <n v="2.8"/>
    <s v=""/>
  </r>
  <r>
    <n v="95"/>
    <x v="5"/>
    <x v="16"/>
    <s v="Pacote"/>
    <n v="1"/>
    <n v="1.99"/>
    <n v="1.99"/>
    <m/>
    <x v="3"/>
    <n v="0"/>
    <n v="1.99"/>
    <s v=""/>
  </r>
  <r>
    <n v="95"/>
    <x v="5"/>
    <x v="14"/>
    <s v="Unidade"/>
    <n v="3"/>
    <n v="2.6"/>
    <n v="7.8000000000000007"/>
    <m/>
    <x v="3"/>
    <n v="0"/>
    <n v="7.8000000000000007"/>
    <s v=""/>
  </r>
  <r>
    <n v="95"/>
    <x v="5"/>
    <x v="43"/>
    <s v="Unidade"/>
    <n v="2"/>
    <n v="4.5"/>
    <n v="9"/>
    <m/>
    <x v="3"/>
    <n v="0"/>
    <n v="9"/>
    <s v=""/>
  </r>
  <r>
    <n v="95"/>
    <x v="5"/>
    <x v="35"/>
    <s v="Kg"/>
    <n v="1"/>
    <n v="8"/>
    <n v="8"/>
    <m/>
    <x v="3"/>
    <n v="0"/>
    <n v="8"/>
    <s v=""/>
  </r>
  <r>
    <n v="95"/>
    <x v="5"/>
    <x v="1"/>
    <s v="Kg"/>
    <n v="4"/>
    <n v="4.28"/>
    <n v="17.12"/>
    <m/>
    <x v="3"/>
    <n v="0"/>
    <n v="17.12"/>
    <s v=""/>
  </r>
  <r>
    <n v="95"/>
    <x v="5"/>
    <x v="34"/>
    <s v="Kg"/>
    <n v="1"/>
    <n v="3"/>
    <n v="3"/>
    <m/>
    <x v="3"/>
    <n v="0"/>
    <n v="3"/>
    <s v=""/>
  </r>
  <r>
    <n v="95"/>
    <x v="5"/>
    <x v="22"/>
    <s v="Litro"/>
    <n v="2"/>
    <n v="3.45"/>
    <n v="6.9"/>
    <m/>
    <x v="3"/>
    <n v="0"/>
    <n v="6.9"/>
    <s v=""/>
  </r>
  <r>
    <n v="95"/>
    <x v="5"/>
    <x v="11"/>
    <s v="Unidade"/>
    <n v="1"/>
    <n v="2.89"/>
    <n v="2.89"/>
    <m/>
    <x v="3"/>
    <n v="0"/>
    <n v="2.89"/>
    <s v=""/>
  </r>
  <r>
    <n v="95"/>
    <x v="5"/>
    <x v="9"/>
    <s v="Kg"/>
    <n v="1"/>
    <n v="9.58"/>
    <n v="9.58"/>
    <m/>
    <x v="3"/>
    <n v="0"/>
    <n v="9.58"/>
    <s v=""/>
  </r>
  <r>
    <n v="95"/>
    <x v="5"/>
    <x v="31"/>
    <s v="Unidade"/>
    <n v="2"/>
    <n v="10"/>
    <n v="20"/>
    <m/>
    <x v="3"/>
    <n v="0"/>
    <n v="20"/>
    <s v=""/>
  </r>
  <r>
    <n v="95"/>
    <x v="5"/>
    <x v="19"/>
    <s v="Kg"/>
    <n v="2"/>
    <n v="7"/>
    <n v="14"/>
    <m/>
    <x v="3"/>
    <n v="0"/>
    <n v="14"/>
    <s v=""/>
  </r>
  <r>
    <n v="95"/>
    <x v="5"/>
    <x v="21"/>
    <s v="Kg"/>
    <n v="1"/>
    <n v="6.8"/>
    <n v="6.8"/>
    <m/>
    <x v="3"/>
    <n v="7"/>
    <n v="13.8"/>
    <n v="350.81"/>
  </r>
  <r>
    <n v="96"/>
    <x v="5"/>
    <x v="33"/>
    <s v="Kg"/>
    <n v="1"/>
    <n v="10"/>
    <n v="10"/>
    <m/>
    <x v="4"/>
    <n v="0"/>
    <n v="10"/>
    <s v=""/>
  </r>
  <r>
    <n v="96"/>
    <x v="5"/>
    <x v="30"/>
    <s v="Kg"/>
    <n v="1"/>
    <n v="3"/>
    <n v="3"/>
    <m/>
    <x v="4"/>
    <n v="0"/>
    <n v="3"/>
    <s v=""/>
  </r>
  <r>
    <n v="96"/>
    <x v="5"/>
    <x v="39"/>
    <s v="Kg"/>
    <n v="2"/>
    <n v="2.8"/>
    <n v="5.6"/>
    <m/>
    <x v="4"/>
    <n v="0"/>
    <n v="5.6"/>
    <s v=""/>
  </r>
  <r>
    <n v="96"/>
    <x v="5"/>
    <x v="38"/>
    <s v="Kg"/>
    <n v="2"/>
    <n v="6.9"/>
    <n v="13.8"/>
    <m/>
    <x v="4"/>
    <n v="0"/>
    <n v="13.8"/>
    <s v=""/>
  </r>
  <r>
    <n v="96"/>
    <x v="5"/>
    <x v="10"/>
    <s v="Kg"/>
    <n v="5"/>
    <n v="15.9"/>
    <n v="79.5"/>
    <m/>
    <x v="4"/>
    <n v="15"/>
    <n v="94.5"/>
    <n v="126.9"/>
  </r>
  <r>
    <n v="97"/>
    <x v="5"/>
    <x v="3"/>
    <s v="Unidade"/>
    <n v="2"/>
    <n v="2.99"/>
    <n v="5.98"/>
    <m/>
    <x v="3"/>
    <n v="0"/>
    <n v="5.98"/>
    <s v=""/>
  </r>
  <r>
    <n v="97"/>
    <x v="5"/>
    <x v="2"/>
    <s v="Kg"/>
    <n v="1"/>
    <n v="3.99"/>
    <n v="3.99"/>
    <m/>
    <x v="3"/>
    <n v="0"/>
    <n v="3.99"/>
    <s v=""/>
  </r>
  <r>
    <n v="97"/>
    <x v="5"/>
    <x v="1"/>
    <s v="Kg"/>
    <n v="4"/>
    <n v="4.28"/>
    <n v="17.12"/>
    <m/>
    <x v="3"/>
    <n v="7"/>
    <n v="24.12"/>
    <n v="34.090000000000003"/>
  </r>
  <r>
    <n v="98"/>
    <x v="5"/>
    <x v="13"/>
    <s v="Kg"/>
    <n v="3"/>
    <n v="25.9"/>
    <n v="77.699999999999989"/>
    <m/>
    <x v="0"/>
    <n v="0"/>
    <n v="77.699999999999989"/>
    <n v="77.699999999999989"/>
  </r>
  <r>
    <n v="99"/>
    <x v="5"/>
    <x v="29"/>
    <s v="Kg"/>
    <n v="1"/>
    <n v="5"/>
    <n v="5"/>
    <m/>
    <x v="0"/>
    <n v="0"/>
    <n v="5"/>
    <s v=""/>
  </r>
  <r>
    <n v="99"/>
    <x v="5"/>
    <x v="21"/>
    <s v="Kg"/>
    <n v="2"/>
    <n v="6.8"/>
    <n v="13.6"/>
    <m/>
    <x v="0"/>
    <n v="0"/>
    <n v="13.6"/>
    <s v=""/>
  </r>
  <r>
    <n v="99"/>
    <x v="5"/>
    <x v="36"/>
    <s v="Unidade"/>
    <n v="1"/>
    <n v="18.899999999999999"/>
    <n v="18.899999999999999"/>
    <m/>
    <x v="0"/>
    <n v="0"/>
    <n v="18.899999999999999"/>
    <s v=""/>
  </r>
  <r>
    <n v="99"/>
    <x v="5"/>
    <x v="40"/>
    <s v="Kg"/>
    <n v="2"/>
    <n v="24"/>
    <n v="48"/>
    <m/>
    <x v="0"/>
    <n v="0"/>
    <n v="48"/>
    <s v=""/>
  </r>
  <r>
    <n v="99"/>
    <x v="5"/>
    <x v="12"/>
    <s v="Kg"/>
    <n v="5"/>
    <n v="6.98"/>
    <n v="34.900000000000006"/>
    <m/>
    <x v="0"/>
    <n v="0"/>
    <n v="34.900000000000006"/>
    <s v=""/>
  </r>
  <r>
    <n v="99"/>
    <x v="5"/>
    <x v="11"/>
    <s v="Unidade"/>
    <n v="1"/>
    <n v="2.89"/>
    <n v="2.89"/>
    <m/>
    <x v="0"/>
    <n v="0"/>
    <n v="2.89"/>
    <s v=""/>
  </r>
  <r>
    <n v="99"/>
    <x v="5"/>
    <x v="39"/>
    <s v="Kg"/>
    <n v="1"/>
    <n v="2.8"/>
    <n v="2.8"/>
    <m/>
    <x v="0"/>
    <n v="0"/>
    <n v="2.8"/>
    <s v=""/>
  </r>
  <r>
    <n v="99"/>
    <x v="5"/>
    <x v="3"/>
    <s v="Unidade"/>
    <n v="1"/>
    <n v="2.99"/>
    <n v="2.99"/>
    <m/>
    <x v="0"/>
    <n v="0"/>
    <n v="2.99"/>
    <s v=""/>
  </r>
  <r>
    <n v="99"/>
    <x v="5"/>
    <x v="0"/>
    <s v="Kg"/>
    <n v="5"/>
    <n v="2.4900000000000002"/>
    <n v="12.450000000000001"/>
    <m/>
    <x v="0"/>
    <n v="0"/>
    <n v="12.450000000000001"/>
    <s v=""/>
  </r>
  <r>
    <n v="99"/>
    <x v="5"/>
    <x v="8"/>
    <s v="Kg"/>
    <n v="7"/>
    <n v="5.82"/>
    <n v="40.74"/>
    <m/>
    <x v="0"/>
    <n v="0"/>
    <n v="40.74"/>
    <s v=""/>
  </r>
  <r>
    <n v="99"/>
    <x v="5"/>
    <x v="30"/>
    <s v="Kg"/>
    <n v="1"/>
    <n v="3"/>
    <n v="3"/>
    <m/>
    <x v="0"/>
    <n v="0"/>
    <n v="3"/>
    <s v=""/>
  </r>
  <r>
    <n v="99"/>
    <x v="5"/>
    <x v="2"/>
    <s v="Kg"/>
    <n v="2"/>
    <n v="3.99"/>
    <n v="7.98"/>
    <m/>
    <x v="0"/>
    <n v="0"/>
    <n v="7.98"/>
    <s v=""/>
  </r>
  <r>
    <n v="99"/>
    <x v="5"/>
    <x v="13"/>
    <s v="Kg"/>
    <n v="2"/>
    <n v="25.9"/>
    <n v="51.8"/>
    <m/>
    <x v="0"/>
    <n v="0"/>
    <n v="51.8"/>
    <s v=""/>
  </r>
  <r>
    <n v="99"/>
    <x v="5"/>
    <x v="10"/>
    <s v="Kg"/>
    <n v="5"/>
    <n v="15.9"/>
    <n v="79.5"/>
    <m/>
    <x v="0"/>
    <n v="0"/>
    <n v="79.5"/>
    <s v=""/>
  </r>
  <r>
    <n v="99"/>
    <x v="5"/>
    <x v="25"/>
    <s v="Kg"/>
    <n v="1"/>
    <n v="12"/>
    <n v="12"/>
    <m/>
    <x v="0"/>
    <n v="0"/>
    <n v="12"/>
    <s v=""/>
  </r>
  <r>
    <n v="99"/>
    <x v="5"/>
    <x v="38"/>
    <s v="Kg"/>
    <n v="2"/>
    <n v="6.9"/>
    <n v="13.8"/>
    <m/>
    <x v="0"/>
    <n v="0"/>
    <n v="13.8"/>
    <s v=""/>
  </r>
  <r>
    <n v="99"/>
    <x v="5"/>
    <x v="14"/>
    <s v="Unidade"/>
    <n v="1"/>
    <n v="2.6"/>
    <n v="2.6"/>
    <m/>
    <x v="0"/>
    <n v="0"/>
    <n v="2.6"/>
    <s v=""/>
  </r>
  <r>
    <n v="99"/>
    <x v="5"/>
    <x v="31"/>
    <s v="Unidade"/>
    <n v="1"/>
    <n v="10"/>
    <n v="10"/>
    <m/>
    <x v="0"/>
    <n v="0"/>
    <n v="10"/>
    <s v=""/>
  </r>
  <r>
    <n v="99"/>
    <x v="5"/>
    <x v="6"/>
    <s v="Litro"/>
    <n v="4"/>
    <n v="1.49"/>
    <n v="5.96"/>
    <m/>
    <x v="0"/>
    <n v="0"/>
    <n v="5.96"/>
    <s v=""/>
  </r>
  <r>
    <n v="99"/>
    <x v="5"/>
    <x v="9"/>
    <s v="Kg"/>
    <n v="1"/>
    <n v="9.58"/>
    <n v="9.58"/>
    <m/>
    <x v="0"/>
    <n v="0"/>
    <n v="9.58"/>
    <s v=""/>
  </r>
  <r>
    <n v="99"/>
    <x v="5"/>
    <x v="33"/>
    <s v="Kg"/>
    <n v="1"/>
    <n v="10"/>
    <n v="10"/>
    <m/>
    <x v="0"/>
    <n v="0"/>
    <n v="10"/>
    <s v=""/>
  </r>
  <r>
    <n v="99"/>
    <x v="5"/>
    <x v="35"/>
    <s v="Kg"/>
    <n v="2"/>
    <n v="8"/>
    <n v="16"/>
    <m/>
    <x v="0"/>
    <n v="0"/>
    <n v="16"/>
    <s v=""/>
  </r>
  <r>
    <n v="99"/>
    <x v="5"/>
    <x v="4"/>
    <s v="Barra"/>
    <n v="1"/>
    <n v="4.99"/>
    <n v="4.99"/>
    <m/>
    <x v="0"/>
    <n v="0"/>
    <n v="4.99"/>
    <n v="409.48"/>
  </r>
  <r>
    <n v="100"/>
    <x v="5"/>
    <x v="0"/>
    <s v="Kg"/>
    <n v="10"/>
    <n v="2.4900000000000002"/>
    <n v="24.900000000000002"/>
    <m/>
    <x v="0"/>
    <n v="0"/>
    <n v="24.900000000000002"/>
    <s v=""/>
  </r>
  <r>
    <n v="100"/>
    <x v="5"/>
    <x v="1"/>
    <s v="Kg"/>
    <n v="3"/>
    <n v="4.28"/>
    <n v="12.84"/>
    <m/>
    <x v="0"/>
    <n v="0"/>
    <n v="12.84"/>
    <s v=""/>
  </r>
  <r>
    <n v="100"/>
    <x v="5"/>
    <x v="12"/>
    <s v="Kg"/>
    <n v="2"/>
    <n v="6.98"/>
    <n v="13.96"/>
    <m/>
    <x v="0"/>
    <n v="0"/>
    <n v="13.96"/>
    <s v=""/>
  </r>
  <r>
    <n v="100"/>
    <x v="5"/>
    <x v="11"/>
    <s v="Unidade"/>
    <n v="1"/>
    <n v="2.89"/>
    <n v="2.89"/>
    <m/>
    <x v="0"/>
    <n v="0"/>
    <n v="2.89"/>
    <s v=""/>
  </r>
  <r>
    <n v="100"/>
    <x v="5"/>
    <x v="15"/>
    <s v="Kg"/>
    <n v="5"/>
    <n v="23.9"/>
    <n v="119.5"/>
    <m/>
    <x v="0"/>
    <n v="0"/>
    <n v="119.5"/>
    <s v=""/>
  </r>
  <r>
    <n v="100"/>
    <x v="5"/>
    <x v="10"/>
    <s v="Kg"/>
    <n v="10"/>
    <n v="15.9"/>
    <n v="159"/>
    <m/>
    <x v="0"/>
    <n v="0"/>
    <n v="159"/>
    <s v=""/>
  </r>
  <r>
    <n v="100"/>
    <x v="5"/>
    <x v="5"/>
    <s v="Litro"/>
    <n v="5"/>
    <n v="2.39"/>
    <n v="11.950000000000001"/>
    <m/>
    <x v="0"/>
    <n v="0"/>
    <n v="11.950000000000001"/>
    <s v=""/>
  </r>
  <r>
    <n v="100"/>
    <x v="5"/>
    <x v="33"/>
    <s v="Kg"/>
    <n v="2"/>
    <n v="10"/>
    <n v="20"/>
    <m/>
    <x v="0"/>
    <n v="0"/>
    <n v="20"/>
    <s v=""/>
  </r>
  <r>
    <n v="100"/>
    <x v="5"/>
    <x v="39"/>
    <s v="Kg"/>
    <n v="2"/>
    <n v="2.8"/>
    <n v="5.6"/>
    <m/>
    <x v="0"/>
    <n v="0"/>
    <n v="5.6"/>
    <s v=""/>
  </r>
  <r>
    <n v="100"/>
    <x v="5"/>
    <x v="22"/>
    <s v="Litro"/>
    <n v="3"/>
    <n v="3.45"/>
    <n v="10.350000000000001"/>
    <m/>
    <x v="0"/>
    <n v="0"/>
    <n v="10.350000000000001"/>
    <s v=""/>
  </r>
  <r>
    <n v="100"/>
    <x v="5"/>
    <x v="8"/>
    <s v="Kg"/>
    <n v="15"/>
    <n v="5.82"/>
    <n v="87.300000000000011"/>
    <m/>
    <x v="0"/>
    <n v="0"/>
    <n v="87.300000000000011"/>
    <s v=""/>
  </r>
  <r>
    <n v="100"/>
    <x v="5"/>
    <x v="13"/>
    <s v="Kg"/>
    <n v="2"/>
    <n v="25.9"/>
    <n v="51.8"/>
    <m/>
    <x v="0"/>
    <n v="0"/>
    <n v="51.8"/>
    <s v=""/>
  </r>
  <r>
    <n v="100"/>
    <x v="5"/>
    <x v="27"/>
    <s v="Kg"/>
    <n v="1"/>
    <n v="2.9"/>
    <n v="2.9"/>
    <m/>
    <x v="0"/>
    <n v="0"/>
    <n v="2.9"/>
    <n v="522.99"/>
  </r>
  <r>
    <n v="101"/>
    <x v="5"/>
    <x v="24"/>
    <s v="Garrafa"/>
    <n v="200"/>
    <n v="54.9"/>
    <n v="10980"/>
    <m/>
    <x v="0"/>
    <n v="0"/>
    <n v="10980"/>
    <s v=""/>
  </r>
  <r>
    <n v="101"/>
    <x v="5"/>
    <x v="23"/>
    <s v="Garrafa"/>
    <n v="180"/>
    <n v="29.9"/>
    <n v="5382"/>
    <m/>
    <x v="0"/>
    <n v="0"/>
    <n v="5382"/>
    <n v="16362"/>
  </r>
  <r>
    <n v="102"/>
    <x v="5"/>
    <x v="9"/>
    <s v="Kg"/>
    <n v="1"/>
    <n v="9.58"/>
    <n v="9.58"/>
    <m/>
    <x v="2"/>
    <n v="0"/>
    <n v="9.58"/>
    <s v=""/>
  </r>
  <r>
    <n v="102"/>
    <x v="5"/>
    <x v="30"/>
    <s v="Kg"/>
    <n v="0.6"/>
    <n v="3"/>
    <n v="1.7999999999999998"/>
    <m/>
    <x v="2"/>
    <n v="0"/>
    <n v="1.7999999999999998"/>
    <s v=""/>
  </r>
  <r>
    <n v="102"/>
    <x v="5"/>
    <x v="36"/>
    <s v="Unidade"/>
    <n v="2"/>
    <n v="18.899999999999999"/>
    <n v="37.799999999999997"/>
    <m/>
    <x v="2"/>
    <n v="0"/>
    <n v="37.799999999999997"/>
    <s v=""/>
  </r>
  <r>
    <n v="102"/>
    <x v="5"/>
    <x v="37"/>
    <s v="Kg"/>
    <n v="2"/>
    <n v="7.8"/>
    <n v="15.6"/>
    <m/>
    <x v="2"/>
    <n v="0"/>
    <n v="15.6"/>
    <s v=""/>
  </r>
  <r>
    <n v="102"/>
    <x v="5"/>
    <x v="27"/>
    <s v="Kg"/>
    <n v="1"/>
    <n v="2.9"/>
    <n v="2.9"/>
    <m/>
    <x v="2"/>
    <n v="0"/>
    <n v="2.9"/>
    <s v=""/>
  </r>
  <r>
    <n v="102"/>
    <x v="5"/>
    <x v="26"/>
    <s v="Unidade"/>
    <n v="1"/>
    <n v="7"/>
    <n v="7"/>
    <m/>
    <x v="2"/>
    <n v="10"/>
    <n v="17"/>
    <n v="84.679999999999993"/>
  </r>
  <r>
    <n v="103"/>
    <x v="5"/>
    <x v="15"/>
    <s v="Kg"/>
    <n v="3"/>
    <n v="23.9"/>
    <n v="71.699999999999989"/>
    <m/>
    <x v="2"/>
    <n v="0"/>
    <n v="71.699999999999989"/>
    <s v=""/>
  </r>
  <r>
    <n v="103"/>
    <x v="5"/>
    <x v="0"/>
    <s v="Kg"/>
    <n v="10"/>
    <n v="2.4900000000000002"/>
    <n v="24.900000000000002"/>
    <m/>
    <x v="2"/>
    <n v="0"/>
    <n v="24.900000000000002"/>
    <s v=""/>
  </r>
  <r>
    <n v="103"/>
    <x v="5"/>
    <x v="1"/>
    <s v="Kg"/>
    <n v="2"/>
    <n v="4.28"/>
    <n v="8.56"/>
    <m/>
    <x v="2"/>
    <n v="10"/>
    <n v="18.560000000000002"/>
    <n v="115.16"/>
  </r>
  <r>
    <n v="104"/>
    <x v="5"/>
    <x v="7"/>
    <s v="Lata"/>
    <n v="150"/>
    <n v="2.19"/>
    <n v="328.5"/>
    <m/>
    <x v="3"/>
    <n v="0"/>
    <n v="328.5"/>
    <s v=""/>
  </r>
  <r>
    <n v="104"/>
    <x v="5"/>
    <x v="24"/>
    <s v="Garrafa"/>
    <n v="50"/>
    <n v="54.9"/>
    <n v="2745"/>
    <m/>
    <x v="3"/>
    <n v="0"/>
    <n v="2745"/>
    <s v=""/>
  </r>
  <r>
    <n v="104"/>
    <x v="5"/>
    <x v="23"/>
    <s v="Garrafa"/>
    <n v="25"/>
    <n v="29.9"/>
    <n v="747.5"/>
    <m/>
    <x v="3"/>
    <n v="0"/>
    <n v="747.5"/>
    <s v=""/>
  </r>
  <r>
    <n v="104"/>
    <x v="5"/>
    <x v="5"/>
    <s v="Litro"/>
    <n v="50"/>
    <n v="2.39"/>
    <n v="119.5"/>
    <m/>
    <x v="3"/>
    <n v="7"/>
    <n v="126.5"/>
    <n v="3947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7283C-D894-42F5-AC7D-4C6354101E02}" name="Tabela dinâmica1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43" firstHeaderRow="0" firstDataRow="1" firstDataCol="1"/>
  <pivotFields count="12">
    <pivotField showAll="0"/>
    <pivotField axis="axisRow" numFmtId="14" showAll="0">
      <items count="8"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23">
        <item x="15"/>
        <item x="4"/>
        <item x="0"/>
        <item x="19"/>
        <item x="2"/>
        <item x="21"/>
        <item x="12"/>
        <item x="17"/>
        <item x="11"/>
        <item x="10"/>
        <item x="14"/>
        <item x="6"/>
        <item x="3"/>
        <item x="18"/>
        <item x="16"/>
        <item x="1"/>
        <item x="5"/>
        <item x="20"/>
        <item x="9"/>
        <item x="13"/>
        <item x="7"/>
        <item x="8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39">
    <i>
      <x/>
    </i>
    <i r="1">
      <x v="2"/>
    </i>
    <i r="1">
      <x v="5"/>
    </i>
    <i r="1">
      <x v="14"/>
    </i>
    <i>
      <x v="1"/>
    </i>
    <i r="1">
      <x v="8"/>
    </i>
    <i>
      <x v="2"/>
    </i>
    <i r="1">
      <x v="2"/>
    </i>
    <i r="1">
      <x v="3"/>
    </i>
    <i r="1">
      <x v="6"/>
    </i>
    <i r="1">
      <x v="7"/>
    </i>
    <i r="1">
      <x v="13"/>
    </i>
    <i r="1">
      <x v="17"/>
    </i>
    <i r="1">
      <x v="18"/>
    </i>
    <i>
      <x v="3"/>
    </i>
    <i r="1">
      <x v="10"/>
    </i>
    <i r="1">
      <x v="14"/>
    </i>
    <i>
      <x v="4"/>
    </i>
    <i r="1">
      <x/>
    </i>
    <i r="1">
      <x v="1"/>
    </i>
    <i r="1">
      <x v="10"/>
    </i>
    <i r="1">
      <x v="20"/>
    </i>
    <i>
      <x v="5"/>
    </i>
    <i r="1">
      <x v="6"/>
    </i>
    <i r="1">
      <x v="8"/>
    </i>
    <i r="1">
      <x v="9"/>
    </i>
    <i r="1">
      <x v="18"/>
    </i>
    <i r="1">
      <x v="19"/>
    </i>
    <i r="1">
      <x v="20"/>
    </i>
    <i r="1">
      <x v="21"/>
    </i>
    <i>
      <x v="6"/>
    </i>
    <i r="1">
      <x v="1"/>
    </i>
    <i r="1">
      <x v="2"/>
    </i>
    <i r="1">
      <x v="4"/>
    </i>
    <i r="1">
      <x v="11"/>
    </i>
    <i r="1">
      <x v="12"/>
    </i>
    <i r="1">
      <x v="15"/>
    </i>
    <i r="1">
      <x v="16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08631F-16C0-4A4D-B631-EE3F6DAB7E05}" name="Tabela dinâmica2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4:J10" firstHeaderRow="0" firstDataRow="1" firstDataCol="1"/>
  <pivotFields count="12">
    <pivotField showAll="0"/>
    <pivotField numFmtId="14" showAll="0"/>
    <pivotField axis="axisRow" showAll="0">
      <items count="23">
        <item x="15"/>
        <item x="4"/>
        <item x="0"/>
        <item x="19"/>
        <item x="2"/>
        <item x="21"/>
        <item x="12"/>
        <item x="17"/>
        <item x="11"/>
        <item x="10"/>
        <item x="14"/>
        <item x="6"/>
        <item x="3"/>
        <item x="18"/>
        <item x="16"/>
        <item x="1"/>
        <item x="5"/>
        <item x="20"/>
        <item x="9"/>
        <item x="13"/>
        <item x="7"/>
        <item x="8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6">
        <item sd="0" x="1"/>
        <item sd="0" x="0"/>
        <item sd="0" x="3"/>
        <item sd="0" x="4"/>
        <item sd="0" x="2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39AFA-3B33-494D-B60F-3E713533D149}" name="Tabela dinâmica1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43" firstHeaderRow="0" firstDataRow="1" firstDataCol="1"/>
  <pivotFields count="12">
    <pivotField showAll="0"/>
    <pivotField axis="axisRow" numFmtId="14" showAll="0">
      <items count="8"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23">
        <item x="15"/>
        <item x="4"/>
        <item x="0"/>
        <item x="19"/>
        <item x="2"/>
        <item x="21"/>
        <item x="12"/>
        <item x="17"/>
        <item x="11"/>
        <item x="10"/>
        <item x="14"/>
        <item x="6"/>
        <item x="3"/>
        <item x="18"/>
        <item x="16"/>
        <item x="1"/>
        <item x="5"/>
        <item x="20"/>
        <item x="9"/>
        <item x="13"/>
        <item x="7"/>
        <item x="8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39">
    <i>
      <x/>
    </i>
    <i r="1">
      <x v="2"/>
    </i>
    <i r="1">
      <x v="5"/>
    </i>
    <i r="1">
      <x v="14"/>
    </i>
    <i>
      <x v="1"/>
    </i>
    <i r="1">
      <x v="8"/>
    </i>
    <i>
      <x v="2"/>
    </i>
    <i r="1">
      <x v="2"/>
    </i>
    <i r="1">
      <x v="3"/>
    </i>
    <i r="1">
      <x v="6"/>
    </i>
    <i r="1">
      <x v="7"/>
    </i>
    <i r="1">
      <x v="13"/>
    </i>
    <i r="1">
      <x v="17"/>
    </i>
    <i r="1">
      <x v="18"/>
    </i>
    <i>
      <x v="3"/>
    </i>
    <i r="1">
      <x v="10"/>
    </i>
    <i r="1">
      <x v="14"/>
    </i>
    <i>
      <x v="4"/>
    </i>
    <i r="1">
      <x/>
    </i>
    <i r="1">
      <x v="1"/>
    </i>
    <i r="1">
      <x v="10"/>
    </i>
    <i r="1">
      <x v="20"/>
    </i>
    <i>
      <x v="5"/>
    </i>
    <i r="1">
      <x v="6"/>
    </i>
    <i r="1">
      <x v="8"/>
    </i>
    <i r="1">
      <x v="9"/>
    </i>
    <i r="1">
      <x v="18"/>
    </i>
    <i r="1">
      <x v="19"/>
    </i>
    <i r="1">
      <x v="20"/>
    </i>
    <i r="1">
      <x v="21"/>
    </i>
    <i>
      <x v="6"/>
    </i>
    <i r="1">
      <x v="1"/>
    </i>
    <i r="1">
      <x v="2"/>
    </i>
    <i r="1">
      <x v="4"/>
    </i>
    <i r="1">
      <x v="11"/>
    </i>
    <i r="1">
      <x v="12"/>
    </i>
    <i r="1">
      <x v="15"/>
    </i>
    <i r="1">
      <x v="16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59A0EC-CD44-41E5-AA8C-0F848F9914D0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4:J10" firstHeaderRow="0" firstDataRow="1" firstDataCol="1"/>
  <pivotFields count="12">
    <pivotField showAll="0"/>
    <pivotField numFmtId="14" showAll="0"/>
    <pivotField axis="axisRow" showAll="0">
      <items count="19">
        <item x="0"/>
        <item x="12"/>
        <item x="16"/>
        <item x="14"/>
        <item x="10"/>
        <item x="6"/>
        <item x="8"/>
        <item x="4"/>
        <item x="11"/>
        <item x="13"/>
        <item x="17"/>
        <item x="2"/>
        <item x="15"/>
        <item x="7"/>
        <item x="1"/>
        <item x="5"/>
        <item x="3"/>
        <item x="9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6">
        <item sd="0" x="4"/>
        <item sd="0" x="2"/>
        <item sd="0" x="3"/>
        <item sd="0" x="1"/>
        <item sd="0" x="0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62F3C6-FCDF-4535-B748-A4C6A74179F3}" name="Tabela dinâmica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4:J10" firstHeaderRow="0" firstDataRow="1" firstDataCol="1"/>
  <pivotFields count="12">
    <pivotField showAll="0"/>
    <pivotField numFmtId="14" showAll="0"/>
    <pivotField axis="axisRow" showAll="0">
      <items count="23">
        <item x="11"/>
        <item x="1"/>
        <item x="16"/>
        <item x="8"/>
        <item x="14"/>
        <item x="0"/>
        <item x="7"/>
        <item x="10"/>
        <item x="3"/>
        <item x="15"/>
        <item x="13"/>
        <item x="2"/>
        <item x="17"/>
        <item x="6"/>
        <item x="9"/>
        <item x="4"/>
        <item x="20"/>
        <item x="5"/>
        <item x="12"/>
        <item x="18"/>
        <item x="19"/>
        <item x="21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6">
        <item sd="0" x="4"/>
        <item sd="0" x="2"/>
        <item sd="0" x="3"/>
        <item sd="0" x="0"/>
        <item sd="0" x="1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0" baseItem="0"/>
    <dataField name="Soma de Valor de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C552F5-EE39-405E-8C44-35001C14874E}" name="Tabela dinâmica1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43" firstHeaderRow="0" firstDataRow="1" firstDataCol="1"/>
  <pivotFields count="12">
    <pivotField showAll="0"/>
    <pivotField axis="axisRow" numFmtId="14" showAll="0">
      <items count="8"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23">
        <item x="15"/>
        <item x="4"/>
        <item x="0"/>
        <item x="19"/>
        <item x="2"/>
        <item x="21"/>
        <item x="12"/>
        <item x="17"/>
        <item x="11"/>
        <item x="10"/>
        <item x="14"/>
        <item x="6"/>
        <item x="3"/>
        <item x="18"/>
        <item x="16"/>
        <item x="1"/>
        <item x="5"/>
        <item x="20"/>
        <item x="9"/>
        <item x="13"/>
        <item x="7"/>
        <item x="8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39">
    <i>
      <x/>
    </i>
    <i r="1">
      <x v="2"/>
    </i>
    <i r="1">
      <x v="5"/>
    </i>
    <i r="1">
      <x v="14"/>
    </i>
    <i>
      <x v="1"/>
    </i>
    <i r="1">
      <x v="8"/>
    </i>
    <i>
      <x v="2"/>
    </i>
    <i r="1">
      <x v="2"/>
    </i>
    <i r="1">
      <x v="3"/>
    </i>
    <i r="1">
      <x v="6"/>
    </i>
    <i r="1">
      <x v="7"/>
    </i>
    <i r="1">
      <x v="13"/>
    </i>
    <i r="1">
      <x v="17"/>
    </i>
    <i r="1">
      <x v="18"/>
    </i>
    <i>
      <x v="3"/>
    </i>
    <i r="1">
      <x v="10"/>
    </i>
    <i r="1">
      <x v="14"/>
    </i>
    <i>
      <x v="4"/>
    </i>
    <i r="1">
      <x/>
    </i>
    <i r="1">
      <x v="1"/>
    </i>
    <i r="1">
      <x v="10"/>
    </i>
    <i r="1">
      <x v="20"/>
    </i>
    <i>
      <x v="5"/>
    </i>
    <i r="1">
      <x v="6"/>
    </i>
    <i r="1">
      <x v="8"/>
    </i>
    <i r="1">
      <x v="9"/>
    </i>
    <i r="1">
      <x v="18"/>
    </i>
    <i r="1">
      <x v="19"/>
    </i>
    <i r="1">
      <x v="20"/>
    </i>
    <i r="1">
      <x v="21"/>
    </i>
    <i>
      <x v="6"/>
    </i>
    <i r="1">
      <x v="1"/>
    </i>
    <i r="1">
      <x v="2"/>
    </i>
    <i r="1">
      <x v="4"/>
    </i>
    <i r="1">
      <x v="11"/>
    </i>
    <i r="1">
      <x v="12"/>
    </i>
    <i r="1">
      <x v="15"/>
    </i>
    <i r="1">
      <x v="16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136E9A-5BC9-458E-BBAA-121C58BB4F52}" name="Tabela dinâmica2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4:J10" firstHeaderRow="0" firstDataRow="1" firstDataCol="1"/>
  <pivotFields count="12">
    <pivotField showAll="0"/>
    <pivotField numFmtId="14" showAll="0"/>
    <pivotField axis="axisRow" showAll="0">
      <items count="46">
        <item x="3"/>
        <item x="0"/>
        <item x="16"/>
        <item x="10"/>
        <item x="2"/>
        <item x="7"/>
        <item x="4"/>
        <item x="14"/>
        <item x="1"/>
        <item x="12"/>
        <item x="6"/>
        <item x="15"/>
        <item x="5"/>
        <item x="8"/>
        <item x="23"/>
        <item x="11"/>
        <item x="24"/>
        <item x="17"/>
        <item x="18"/>
        <item x="13"/>
        <item x="9"/>
        <item x="19"/>
        <item x="20"/>
        <item x="21"/>
        <item x="22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m="1" x="44"/>
        <item x="39"/>
        <item x="40"/>
        <item x="41"/>
        <item x="42"/>
        <item x="43"/>
        <item t="default"/>
      </items>
    </pivotField>
    <pivotField showAll="0"/>
    <pivotField dataField="1" showAll="0"/>
    <pivotField numFmtId="44" showAll="0"/>
    <pivotField numFmtId="44" showAll="0"/>
    <pivotField showAll="0"/>
    <pivotField axis="axisRow" showAll="0">
      <items count="7">
        <item sd="0" x="2"/>
        <item sd="0" x="0"/>
        <item sd="0" x="3"/>
        <item sd="0" m="1" x="5"/>
        <item sd="0" x="4"/>
        <item sd="0" x="1"/>
        <item t="default"/>
      </items>
    </pivotField>
    <pivotField dataField="1" numFmtId="44" showAll="0"/>
    <pivotField dataField="1" numFmtId="44" showAll="0"/>
    <pivotField showAll="0"/>
  </pivotFields>
  <rowFields count="2">
    <field x="8"/>
    <field x="2"/>
  </rowFields>
  <rowItems count="6">
    <i>
      <x/>
    </i>
    <i>
      <x v="1"/>
    </i>
    <i>
      <x v="2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Quantidade" fld="4" baseField="8" baseItem="0" numFmtId="44"/>
    <dataField name="Soma de Valor de Entrega" fld="9" baseField="8" baseItem="0" numFmtId="44"/>
    <dataField name="Soma de Total" fld="10" baseField="8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C59342-3DF5-4C8F-BF3B-00E704C1BA43}" name="Tabela dinâmica1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202" firstHeaderRow="0" firstDataRow="1" firstDataCol="1"/>
  <pivotFields count="12">
    <pivotField showAll="0"/>
    <pivotField axis="axisRow" numFmtId="14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6">
        <item x="3"/>
        <item x="17"/>
        <item x="0"/>
        <item x="16"/>
        <item x="21"/>
        <item x="41"/>
        <item x="10"/>
        <item x="2"/>
        <item x="7"/>
        <item x="4"/>
        <item x="14"/>
        <item x="1"/>
        <item x="12"/>
        <item x="20"/>
        <item x="6"/>
        <item x="15"/>
        <item x="5"/>
        <item x="8"/>
        <item x="23"/>
        <item x="24"/>
        <item x="9"/>
        <item x="11"/>
        <item x="13"/>
        <item x="18"/>
        <item x="19"/>
        <item x="22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m="1" x="44"/>
        <item x="42"/>
        <item x="43"/>
        <item t="default"/>
      </items>
    </pivotField>
    <pivotField showAll="0"/>
    <pivotField dataField="1" showAll="0"/>
    <pivotField numFmtId="44" showAll="0"/>
    <pivotField numFmtId="44" showAll="0"/>
    <pivotField showAll="0"/>
    <pivotField showAll="0"/>
    <pivotField numFmtId="44" showAll="0"/>
    <pivotField dataField="1" numFmtId="44" showAll="0"/>
    <pivotField showAll="0"/>
  </pivotFields>
  <rowFields count="2">
    <field x="1"/>
    <field x="2"/>
  </rowFields>
  <rowItems count="198">
    <i>
      <x/>
    </i>
    <i r="1">
      <x/>
    </i>
    <i r="1">
      <x v="1"/>
    </i>
    <i r="1">
      <x v="2"/>
    </i>
    <i r="1">
      <x v="3"/>
    </i>
    <i r="1">
      <x v="4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>
      <x v="1"/>
    </i>
    <i r="1">
      <x/>
    </i>
    <i r="1">
      <x v="2"/>
    </i>
    <i r="1">
      <x v="4"/>
    </i>
    <i r="1">
      <x v="6"/>
    </i>
    <i r="1">
      <x v="7"/>
    </i>
    <i r="1">
      <x v="8"/>
    </i>
    <i r="1">
      <x v="11"/>
    </i>
    <i r="1">
      <x v="13"/>
    </i>
    <i r="1">
      <x v="14"/>
    </i>
    <i r="1">
      <x v="17"/>
    </i>
    <i r="1">
      <x v="19"/>
    </i>
    <i r="1">
      <x v="20"/>
    </i>
    <i r="1">
      <x v="22"/>
    </i>
    <i r="1">
      <x v="25"/>
    </i>
    <i r="1">
      <x v="28"/>
    </i>
    <i r="1">
      <x v="29"/>
    </i>
    <i r="1">
      <x v="30"/>
    </i>
    <i r="1">
      <x v="31"/>
    </i>
    <i r="1">
      <x v="32"/>
    </i>
    <i r="1">
      <x v="33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3"/>
    </i>
    <i>
      <x v="3"/>
    </i>
    <i r="1">
      <x/>
    </i>
    <i r="1">
      <x v="1"/>
    </i>
    <i r="1">
      <x v="2"/>
    </i>
    <i r="1">
      <x v="3"/>
    </i>
    <i r="1">
      <x v="4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8"/>
    </i>
    <i r="1">
      <x v="20"/>
    </i>
    <i r="1">
      <x v="21"/>
    </i>
    <i r="1">
      <x v="22"/>
    </i>
    <i r="1">
      <x v="23"/>
    </i>
    <i r="1">
      <x v="24"/>
    </i>
    <i r="1">
      <x v="26"/>
    </i>
    <i r="1">
      <x v="27"/>
    </i>
    <i r="1">
      <x v="28"/>
    </i>
    <i r="1">
      <x v="31"/>
    </i>
    <i r="1">
      <x v="32"/>
    </i>
    <i r="1">
      <x v="33"/>
    </i>
    <i r="1">
      <x v="37"/>
    </i>
    <i r="1">
      <x v="38"/>
    </i>
    <i r="1">
      <x v="40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6"/>
    </i>
    <i r="1">
      <x v="17"/>
    </i>
    <i r="1">
      <x v="21"/>
    </i>
    <i r="1">
      <x v="22"/>
    </i>
    <i r="1">
      <x v="23"/>
    </i>
    <i r="1">
      <x v="24"/>
    </i>
    <i r="1">
      <x v="26"/>
    </i>
    <i r="1">
      <x v="28"/>
    </i>
    <i r="1">
      <x v="29"/>
    </i>
    <i r="1">
      <x v="33"/>
    </i>
    <i r="1">
      <x v="34"/>
    </i>
    <i r="1">
      <x v="35"/>
    </i>
    <i r="1">
      <x v="37"/>
    </i>
    <i r="1">
      <x v="40"/>
    </i>
    <i r="1">
      <x v="43"/>
    </i>
    <i r="1">
      <x v="44"/>
    </i>
    <i>
      <x v="5"/>
    </i>
    <i r="1">
      <x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3"/>
    </i>
    <i r="1">
      <x v="44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uantidade" fld="4" baseField="0" baseItem="0"/>
    <dataField name="Soma de Total" fld="10" baseField="1" baseItem="0" numFmtId="4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FD96D9-302E-4EE3-ACBE-40DB7BCA16BD}" name="Tabela1" displayName="Tabela1" ref="B4:G29" totalsRowShown="0" headerRowDxfId="51">
  <autoFilter ref="B4:G29" xr:uid="{50FD96D9-302E-4EE3-ACBE-40DB7BCA16BD}"/>
  <tableColumns count="6">
    <tableColumn id="1" xr3:uid="{E98CEF77-AF69-44F1-9781-62D217EC6FB1}" name="Despesas de Funcionamento"/>
    <tableColumn id="2" xr3:uid="{99FC061C-BB4E-4524-8DB3-565253A5248E}" name="Itens Despesas"/>
    <tableColumn id="3" xr3:uid="{BBA8E19B-BA8B-42F6-88FB-120D1093BC04}" name="Data" dataDxfId="50"/>
    <tableColumn id="6" xr3:uid="{26FBC50E-6F10-4C13-8E10-AF9220E049D2}" name="Observação" dataDxfId="49"/>
    <tableColumn id="4" xr3:uid="{2045D0E4-D569-4C65-9EDA-E7BB5A359104}" name="Valor Intermediário" dataCellStyle="Moeda"/>
    <tableColumn id="5" xr3:uid="{CE1DDE6B-FC99-449B-8D96-A9EF63AB51E0}" name="Valor Final" dataDxfId="48" dataCellStyle="Moeda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587E6C-8EB7-41DA-B8CA-D350BE37F292}" name="Tabela2" displayName="Tabela2" ref="B5:I48">
  <autoFilter ref="B5:I48" xr:uid="{3F587E6C-8EB7-41DA-B8CA-D350BE37F292}"/>
  <tableColumns count="8">
    <tableColumn id="1" xr3:uid="{5EF3356A-E989-4B0C-9684-974C79879F32}" name="Data" totalsRowLabel="Total" dataDxfId="47"/>
    <tableColumn id="2" xr3:uid="{CD38B569-82DC-480F-83BB-09CCA67BDFC5}" name="Fornecedor"/>
    <tableColumn id="3" xr3:uid="{0F8BD08E-B79E-48D7-AC34-B00446954045}" name="Mercadoria"/>
    <tableColumn id="4" xr3:uid="{82ACB16B-23B2-4CE1-AA9E-AC65EF4C772F}" name="Medida" dataDxfId="46">
      <calculatedColumnFormula>IFERROR(VLOOKUP(Tabela2[[#This Row],[Mercadoria]],cálculos!$I$3:$L$60,4,0),"")</calculatedColumnFormula>
    </tableColumn>
    <tableColumn id="5" xr3:uid="{46A5A19E-DDFF-470F-8D00-0A463E4C0387}" name="Quantidade" dataDxfId="45" totalsRowDxfId="44"/>
    <tableColumn id="6" xr3:uid="{163D19E4-FB71-4509-B5C1-71553D9445BC}" name="Preço Unitário" dataDxfId="43" totalsRowDxfId="42" dataCellStyle="Moeda">
      <calculatedColumnFormula>IFERROR(VLOOKUP(Tabela2[[#This Row],[Mercadoria]],cálculos!$I$3:$L$60,2,0),0)</calculatedColumnFormula>
    </tableColumn>
    <tableColumn id="7" xr3:uid="{36C28ED3-9737-4894-975E-6FAF763232A5}" name="Desconto" totalsRowDxfId="41" dataCellStyle="Porcentagem"/>
    <tableColumn id="8" xr3:uid="{B11DAC3A-A16B-4AE2-9EE5-C1C736C7FBE1}" name="Valor Pago" totalsRowFunction="sum" dataDxfId="40" totalsRowDxfId="39" dataCellStyle="Moeda">
      <calculatedColumnFormula>Tabela2[[#This Row],[Quantidade]]*Tabela2[[#This Row],[Preço Unitário]]*(1-Tabela2[[#This Row],[Desconto]])</calculatedColumnFormula>
    </tableColumn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D533DE3-53CA-4F15-99EF-44E0830FCDC2}" name="Tabela4" displayName="Tabela4" ref="B4:E9" totalsRowShown="0" headerRowDxfId="38">
  <autoFilter ref="B4:E9" xr:uid="{0D533DE3-53CA-4F15-99EF-44E0830FCDC2}"/>
  <tableColumns count="4">
    <tableColumn id="1" xr3:uid="{326737E3-61D9-4736-9AD4-B41AFDC1D130}" name="Investimento" dataDxfId="37"/>
    <tableColumn id="2" xr3:uid="{A0ECD190-3464-4B57-AD37-2D662C5A6D54}" name="Data" dataDxfId="36"/>
    <tableColumn id="3" xr3:uid="{4D97893E-170C-45EC-A7EA-9086495653B4}" name="Descrição" dataDxfId="35"/>
    <tableColumn id="4" xr3:uid="{7108E65B-364A-4AA2-BCFD-180F3577D549}" name="Valor" dataCellStyle="Moed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5BF6A30-75DF-435C-B13B-992807F67789}" name="Tabela5" displayName="Tabela5" ref="B4:H48" totalsRowShown="0" headerRowDxfId="32">
  <autoFilter ref="B4:H48" xr:uid="{E5BF6A30-75DF-435C-B13B-992807F67789}"/>
  <tableColumns count="7">
    <tableColumn id="1" xr3:uid="{885DEC03-625C-43B7-8A75-A793C2B2734B}" name="Produto"/>
    <tableColumn id="2" xr3:uid="{F0143E58-1E40-4CEB-BEDC-1161F71AAD0D}" name="Data da Última Compra" dataDxfId="31">
      <calculatedColumnFormula>IFERROR(INDEX(Tabela2[],MATCH(Tabela5[[#This Row],[Produto]],Tabela2[Mercadoria],0),1),"-")</calculatedColumnFormula>
    </tableColumn>
    <tableColumn id="3" xr3:uid="{16C0368B-5A5B-44BD-AC30-20C9B5BF515E}" name="Quantidade inicial" dataDxfId="30"/>
    <tableColumn id="8" xr3:uid="{5824B567-6DF0-4A90-ACA2-19A6D31A25AB}" name="Quantidade Comprada" dataDxfId="29">
      <calculatedColumnFormula>SUMIF(Tabela2[Mercadoria],Tabela5[[#This Row],[Produto]],Tabela2[Quantidade])</calculatedColumnFormula>
    </tableColumn>
    <tableColumn id="4" xr3:uid="{39FC07E3-7AA2-4FD5-80E7-8C18EBF1B3C4}" name="Quantidade Vendida" dataDxfId="28">
      <calculatedColumnFormula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calculatedColumnFormula>
    </tableColumn>
    <tableColumn id="5" xr3:uid="{7FAD6DE2-741F-4BB6-8C64-7295559CD64C}" name="Quantidade Atual" dataDxfId="27">
      <calculatedColumnFormula>(Tabela5[[#This Row],[Quantidade inicial]]+Tabela5[[#This Row],[Quantidade Comprada]]-Tabela5[[#This Row],[Quantidade Vendida]])</calculatedColumnFormula>
    </tableColumn>
    <tableColumn id="6" xr3:uid="{C5034F3D-6740-4CA6-85CE-559D7203BC02}" name="Situação" dataDxfId="26">
      <calculatedColumnFormula>IF(G5&lt;50,IF(G5&lt;20,"Comprar","Atenção"),"OK")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E57885-3142-46B8-8B8B-3EF732F9D777}" name="VendasSem1" displayName="VendasSem1" ref="B4:M37" totalsRowShown="0">
  <autoFilter ref="B4:M37" xr:uid="{0FE57885-3142-46B8-8B8B-3EF732F9D777}"/>
  <sortState xmlns:xlrd2="http://schemas.microsoft.com/office/spreadsheetml/2017/richdata2" ref="B5:M37">
    <sortCondition descending="1" ref="B4:B37"/>
  </sortState>
  <tableColumns count="12">
    <tableColumn id="1" xr3:uid="{6A310A03-97CD-43EA-BB81-379353173AF1}" name="Id da Venda"/>
    <tableColumn id="2" xr3:uid="{28258E30-C75B-4AA6-9231-67441F9CABAF}" name="Data"/>
    <tableColumn id="3" xr3:uid="{A1AB4D38-AAA5-451A-9EB8-F196C35D64B6}" name="Produto"/>
    <tableColumn id="4" xr3:uid="{691E3B32-D715-49AC-BDB9-48C3B74038C0}" name="Medida" dataDxfId="23">
      <calculatedColumnFormula>IFERROR(VLOOKUP(VendasSem1[[#This Row],[Produto]],cálculos!$I$3:$L$50,4,0),"")</calculatedColumnFormula>
    </tableColumn>
    <tableColumn id="5" xr3:uid="{B6DB1234-6D7A-4322-AB00-C9FB92CC1300}" name="Quantidade"/>
    <tableColumn id="6" xr3:uid="{C3946435-FC9C-4A87-8AA3-56B907863518}" name="Preço Unitário" dataDxfId="22" dataCellStyle="Moeda">
      <calculatedColumnFormula>IFERROR(VLOOKUP(VendasSem1[[#This Row],[Produto]],cálculos!$I$3:$L$50,3,0),0)</calculatedColumnFormula>
    </tableColumn>
    <tableColumn id="7" xr3:uid="{4FAFFA87-3B8D-4619-9F13-131AF705BEBD}" name="Subtotal" dataDxfId="21" dataCellStyle="Moeda">
      <calculatedColumnFormula>IFERROR(VendasSem1[[#This Row],[Quantidade]]*VendasSem1[[#This Row],[Preço Unitário]],0)</calculatedColumnFormula>
    </tableColumn>
    <tableColumn id="8" xr3:uid="{30D27AB8-AAB4-44AB-88A4-B675261F393A}" name="Desconto" dataCellStyle="Porcentagem"/>
    <tableColumn id="9" xr3:uid="{5E50AE49-D8C2-4CFA-8C4B-47D79930C4E6}" name="Região de Entrega"/>
    <tableColumn id="10" xr3:uid="{8F61E1E7-F16A-497E-AED5-594A8465110C}" name="Valor de Entrega" dataDxfId="20" dataCellStyle="Moeda">
      <calculatedColumnFormula>IFERROR(IF(VendasSem1[[#This Row],[Id da Venda]]=B6,0,VLOOKUP(VendasSem1[[#This Row],[Região de Entrega]],cálculos!$B$5:$C$9,2,0)),0)</calculatedColumnFormula>
    </tableColumn>
    <tableColumn id="11" xr3:uid="{859134A7-3582-46CA-9B8F-D84509510572}" name="Total" dataDxfId="19" dataCellStyle="Moeda">
      <calculatedColumnFormula>(VendasSem1[[#This Row],[Subtotal]]*(1-VendasSem1[[#This Row],[Desconto]])+VendasSem1[[#This Row],[Valor de Entrega]])</calculatedColumnFormula>
    </tableColumn>
    <tableColumn id="12" xr3:uid="{DCD4457F-064B-4F36-BBF1-99CEA67F1F8A}" name="Total para Cliente" dataDxfId="18" dataCellStyle="Moeda">
      <calculatedColumnFormula>IFERROR(IF(VendasSem1[[#This Row],[Id da Venda]]=B6,"",SUMIF(VendasSem1[Id da Venda],VendasSem1[[#This Row],[Id da Venda]],VendasSem1[Total])),0)</calculatedColumnFormula>
    </tableColumn>
  </tableColumns>
  <tableStyleInfo name="TableStyleMedium7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14C2D9C-B5FA-4BE6-8DC4-A2D8B751D9E0}" name="VendasSem2" displayName="VendasSem2" ref="B4:M31" totalsRowShown="0">
  <autoFilter ref="B4:M31" xr:uid="{814C2D9C-B5FA-4BE6-8DC4-A2D8B751D9E0}"/>
  <sortState xmlns:xlrd2="http://schemas.microsoft.com/office/spreadsheetml/2017/richdata2" ref="B5:M31">
    <sortCondition descending="1" ref="C4:C31"/>
  </sortState>
  <tableColumns count="12">
    <tableColumn id="1" xr3:uid="{87616EAD-4246-4C45-B5A0-58625C1997F6}" name="Id da Venda"/>
    <tableColumn id="2" xr3:uid="{C4D43641-CE8D-46BE-BC22-D950A03AE59D}" name="Data"/>
    <tableColumn id="3" xr3:uid="{B0A5695F-C84A-4A63-B43F-60631396B1E9}" name="Produto"/>
    <tableColumn id="4" xr3:uid="{BDBEBCE6-FD3A-4940-8AC3-20E6C334BF27}" name="Medida" dataDxfId="17">
      <calculatedColumnFormula>IFERROR(VLOOKUP(VendasSem2[[#This Row],[Produto]],cálculos!$I$3:$L$50,4,0),"")</calculatedColumnFormula>
    </tableColumn>
    <tableColumn id="5" xr3:uid="{BA69DAEE-8EC1-42F7-BA98-0F12417A0108}" name="Quantidade"/>
    <tableColumn id="6" xr3:uid="{FC069F7C-6815-4AAF-81D3-433F27050113}" name="Preço Unitário" dataDxfId="16" dataCellStyle="Moeda">
      <calculatedColumnFormula>IFERROR(VLOOKUP(VendasSem2[[#This Row],[Produto]],cálculos!$I$3:$L$50,3,0),0)</calculatedColumnFormula>
    </tableColumn>
    <tableColumn id="7" xr3:uid="{4B2E1FDA-5D78-410B-BCAC-0D496A46BFD0}" name="Subtotal" dataDxfId="15" dataCellStyle="Moeda">
      <calculatedColumnFormula>IFERROR(VendasSem2[[#This Row],[Quantidade]]*VendasSem2[[#This Row],[Preço Unitário]],0)</calculatedColumnFormula>
    </tableColumn>
    <tableColumn id="8" xr3:uid="{B7B0A63A-A66F-40AC-922D-F94106F07B6E}" name="Desconto" dataCellStyle="Porcentagem"/>
    <tableColumn id="9" xr3:uid="{047AA88D-E911-4C6F-9595-D4D11A349484}" name="Região de Entrega"/>
    <tableColumn id="10" xr3:uid="{DB6CD0C3-D75D-4411-8327-007AF42D79FB}" name="Valor de Entrega" dataDxfId="14" dataCellStyle="Moeda">
      <calculatedColumnFormula>IF(VendasSem2[[#This Row],[Id da Venda]]=B6,0,(VLOOKUP(VendasSem2[[#This Row],[Região de Entrega]],cálculos!$B$5:$C$9,2,0)))</calculatedColumnFormula>
    </tableColumn>
    <tableColumn id="11" xr3:uid="{AD4B67BB-F1F4-4CA8-AB7C-667BA79F8D57}" name="Total" dataDxfId="13" dataCellStyle="Moeda">
      <calculatedColumnFormula>(VendasSem2[[#This Row],[Subtotal]]*(1-VendasSem2[[#This Row],[Desconto]])+VendasSem2[[#This Row],[Valor de Entrega]])</calculatedColumnFormula>
    </tableColumn>
    <tableColumn id="12" xr3:uid="{198B3B29-D5B2-4C94-83ED-502BD783D077}" name="Total para Cliente" dataDxfId="12" dataCellStyle="Moeda">
      <calculatedColumnFormula>IF(VendasSem2[[#This Row],[Id da Venda]]=B6,"",SUMIF(VendasSem2[Id da Venda],VendasSem2[[#This Row],[Id da Venda]],VendasSem2[Total]))</calculatedColumnFormula>
    </tableColumn>
  </tableColumns>
  <tableStyleInfo name="TableStyleMedium7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C7F09D5-1FB2-43D0-BB90-5D982800E78F}" name="VendasSem3" displayName="VendasSem3" ref="B4:M52" totalsRowShown="0">
  <autoFilter ref="B4:M52" xr:uid="{3C7F09D5-1FB2-43D0-BB90-5D982800E78F}"/>
  <tableColumns count="12">
    <tableColumn id="1" xr3:uid="{763E3964-99B3-454C-8D68-121901813EFE}" name="Id da Venda"/>
    <tableColumn id="2" xr3:uid="{00B5197C-1D3F-44F3-BE09-0448DC5BB9D6}" name="Data"/>
    <tableColumn id="3" xr3:uid="{DFD9CE39-B27A-404C-9312-3DB574438A27}" name="Produto"/>
    <tableColumn id="4" xr3:uid="{3A925054-4EF4-4474-8601-772A6FF0EE0A}" name="Medida" dataDxfId="11">
      <calculatedColumnFormula>IFERROR(VLOOKUP(VendasSem3[[#This Row],[Produto]],cálculos!$I$3:$L$50,4,0),"")</calculatedColumnFormula>
    </tableColumn>
    <tableColumn id="5" xr3:uid="{4414E1C0-3B95-46D6-B6D7-45C95861427E}" name="Quantidade"/>
    <tableColumn id="6" xr3:uid="{DEC8CF20-6FEA-4E9F-9466-1185CA166105}" name="Preço Unitário" dataDxfId="10" dataCellStyle="Moeda">
      <calculatedColumnFormula>IFERROR(VLOOKUP(VendasSem3[[#This Row],[Produto]],cálculos!$I$3:$L$50,3,0),0)</calculatedColumnFormula>
    </tableColumn>
    <tableColumn id="7" xr3:uid="{7A485194-18BB-4076-9CF9-3D20BE1AF9A7}" name="Subtotal" dataDxfId="9" dataCellStyle="Moeda">
      <calculatedColumnFormula>IFERROR(VendasSem3[[#This Row],[Quantidade]]*VendasSem3[[#This Row],[Preço Unitário]],0)</calculatedColumnFormula>
    </tableColumn>
    <tableColumn id="8" xr3:uid="{2ADCBFDB-F20D-44E9-B4D0-3A472E18B3F0}" name="Desconto" dataCellStyle="Porcentagem"/>
    <tableColumn id="9" xr3:uid="{79F79268-8772-4E9F-87EC-7364C12A5790}" name="Região de Entrega"/>
    <tableColumn id="10" xr3:uid="{399D2793-CC0D-4AB6-900E-3E4C92E0AA3E}" name="Valor de Entrega" dataDxfId="8" dataCellStyle="Moeda">
      <calculatedColumnFormula>IFERROR(IF(VendasSem3[[#This Row],[Id da Venda]]=B6,0,VLOOKUP(VendasSem3[[#This Row],[Região de Entrega]],cálculos!$B$5:$C$9,2,0)),0)</calculatedColumnFormula>
    </tableColumn>
    <tableColumn id="11" xr3:uid="{F80F95FD-498C-470F-8E9A-59B5F0C00D04}" name="Total" dataDxfId="7" dataCellStyle="Moeda">
      <calculatedColumnFormula>(VendasSem3[[#This Row],[Subtotal]]*(1-VendasSem3[[#This Row],[Desconto]])+VendasSem3[[#This Row],[Valor de Entrega]])</calculatedColumnFormula>
    </tableColumn>
    <tableColumn id="12" xr3:uid="{0379BD1D-EABB-48E2-9354-8E4ED197D768}" name="Total para Cliente" dataDxfId="6" dataCellStyle="Moeda">
      <calculatedColumnFormula>IF(VendasSem3[[#This Row],[Id da Venda]]=B6,"",SUMIF(VendasSem3[Id da Venda],VendasSem3[[#This Row],[Id da Venda]],VendasSem3[Total]))</calculatedColumnFormula>
    </tableColumn>
  </tableColumns>
  <tableStyleInfo name="TableStyleMedium7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4ED5DB3-D540-4B08-B4E8-D106F17B55EB}" name="VendasSem4" displayName="VendasSem4" ref="B4:M566" totalsRowShown="0">
  <autoFilter ref="B4:M566" xr:uid="{A4ED5DB3-D540-4B08-B4E8-D106F17B55EB}"/>
  <tableColumns count="12">
    <tableColumn id="1" xr3:uid="{FB0F7CF5-B94D-44F3-BFE1-2BFC6D4AEB2B}" name="Id da Venda"/>
    <tableColumn id="2" xr3:uid="{229B8929-1166-4B08-BDE2-6DEB97883EC1}" name="Data"/>
    <tableColumn id="3" xr3:uid="{63D72C60-854A-4C7D-BD49-917A46360D45}" name="Produto"/>
    <tableColumn id="4" xr3:uid="{BE05DF74-8AA0-4E6E-92B4-D47D27502541}" name="Medida" dataDxfId="5">
      <calculatedColumnFormula>IFERROR(VLOOKUP(VendasSem4[[#This Row],[Produto]],cálculos!$I$3:$L$50,4,0),"")</calculatedColumnFormula>
    </tableColumn>
    <tableColumn id="5" xr3:uid="{48EBB4BC-8148-4E8D-975B-1229D8C31747}" name="Quantidade"/>
    <tableColumn id="6" xr3:uid="{B0DAB37E-AA91-4C26-BF72-2657E74F1BAF}" name="Preço Unitário" dataDxfId="4" dataCellStyle="Moeda">
      <calculatedColumnFormula>IFERROR(VLOOKUP(VendasSem4[[#This Row],[Produto]],cálculos!$I$3:$L$50,3,0),0)</calculatedColumnFormula>
    </tableColumn>
    <tableColumn id="7" xr3:uid="{B5F4E815-EB38-4BE0-85CB-65E0C16CB202}" name="Subtotal" dataDxfId="3" dataCellStyle="Moeda">
      <calculatedColumnFormula>IFERROR(VendasSem4[[#This Row],[Quantidade]]*VendasSem4[[#This Row],[Preço Unitário]],0)</calculatedColumnFormula>
    </tableColumn>
    <tableColumn id="8" xr3:uid="{766F7FF8-FC18-4E24-9018-DCCE01E271F3}" name="Desconto" dataCellStyle="Porcentagem"/>
    <tableColumn id="9" xr3:uid="{3C5202E6-20B0-4572-9747-927874F5306D}" name="Região de Entrega"/>
    <tableColumn id="10" xr3:uid="{68DBD862-5D8E-4C6B-A944-594F7AEBC8CC}" name="Valor de Entrega" dataDxfId="2" dataCellStyle="Moeda">
      <calculatedColumnFormula>IFERROR(IF(VendasSem4[[#This Row],[Id da Venda]]=B6,0,VLOOKUP(VendasSem4[[#This Row],[Região de Entrega]],cálculos!$B$5:$C$9,2,0)),0)</calculatedColumnFormula>
    </tableColumn>
    <tableColumn id="11" xr3:uid="{42BF72DE-84B8-4B47-B9B9-DE479B8032EC}" name="Total" dataDxfId="1" dataCellStyle="Moeda">
      <calculatedColumnFormula>(VendasSem4[[#This Row],[Subtotal]]*(1-VendasSem4[[#This Row],[Desconto]])+VendasSem4[[#This Row],[Valor de Entrega]])</calculatedColumnFormula>
    </tableColumn>
    <tableColumn id="12" xr3:uid="{4364590C-9B11-4D1D-9F96-873D751C96A9}" name="Total para Cliente" dataDxfId="0" dataCellStyle="Moeda">
      <calculatedColumnFormula>IF(VendasSem4[[#This Row],[Id da Venda]]=B6,"",SUMIF(VendasSem4[Id da Venda],VendasSem4[[#This Row],[Id da Venda]],VendasSem4[Total]))</calculatedColumnFormula>
    </tableColumn>
  </tableColumns>
  <tableStyleInfo name="TableStyleMedium7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1" dT="2024-07-23T14:24:41.61" personId="{B392E045-8792-47F1-83CE-98DD1CD2DB51}" id="{0EFBC8E0-AC8E-4735-B79F-2F77549E63DC}">
    <text>Colocar descrição na despesa da coluna de observação</text>
  </threadedComment>
  <threadedComment ref="C19" dT="2024-07-23T14:25:28.87" personId="{B392E045-8792-47F1-83CE-98DD1CD2DB51}" id="{802F2FD0-85CA-477A-8F1F-266F31886817}">
    <text>Colocar descrição na despesa da coluna de observação</text>
  </threadedComment>
  <threadedComment ref="C27" dT="2024-07-23T14:25:37.58" personId="{B392E045-8792-47F1-83CE-98DD1CD2DB51}" id="{C66215DD-C67F-49DD-935D-15D5ACAE8EBF}">
    <text>Colocar descrição na despesa da coluna de observação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7" dT="2024-07-23T14:53:56.48" personId="{B392E045-8792-47F1-83CE-98DD1CD2DB51}" id="{3444D07A-7EE2-4476-9AB4-B2DD3408EFA0}">
    <text>Exemplos: Carrinhos, balanças, cortador de queijo, etc</text>
  </threadedComment>
  <threadedComment ref="B8" dT="2024-07-23T14:54:37.77" personId="{B392E045-8792-47F1-83CE-98DD1CD2DB51}" id="{8EB0B7B8-4FEC-4021-ACED-15A2609996E8}">
    <text>Exemplos: Estantes, prateleiras, etc.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10" dT="2024-07-23T14:53:09.14" personId="{B392E045-8792-47F1-83CE-98DD1CD2DB51}" id="{CE43DC1C-FCCB-414E-BA13-A06B37D5BE8F}">
    <text>Imposto considerado = 15%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microsoft.com/office/2017/10/relationships/threadedComment" Target="../threadedComments/threadedComment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860B1-35DA-490E-8BB1-B322437F9AB6}">
  <sheetPr codeName="Planilha1"/>
  <dimension ref="A1"/>
  <sheetViews>
    <sheetView topLeftCell="A14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35928-5C85-449A-91DA-29DB3E3C21DF}">
  <sheetPr codeName="Planilha2"/>
  <dimension ref="B1:G33"/>
  <sheetViews>
    <sheetView showGridLines="0" topLeftCell="A19" zoomScaleNormal="100" workbookViewId="0"/>
  </sheetViews>
  <sheetFormatPr defaultRowHeight="15" x14ac:dyDescent="0.25"/>
  <cols>
    <col min="2" max="2" width="51.42578125" bestFit="1" customWidth="1"/>
    <col min="3" max="3" width="26.42578125" bestFit="1" customWidth="1"/>
    <col min="4" max="4" width="18.85546875" customWidth="1"/>
    <col min="5" max="5" width="26.28515625" bestFit="1" customWidth="1"/>
    <col min="6" max="6" width="26.42578125" bestFit="1" customWidth="1"/>
    <col min="7" max="8" width="18.85546875" customWidth="1"/>
  </cols>
  <sheetData>
    <row r="1" spans="2:7" ht="3" customHeight="1" x14ac:dyDescent="0.25"/>
    <row r="2" spans="2:7" s="4" customFormat="1" ht="27.95" customHeight="1" x14ac:dyDescent="0.25">
      <c r="B2" s="3" t="s">
        <v>0</v>
      </c>
    </row>
    <row r="3" spans="2:7" ht="28.5" customHeight="1" x14ac:dyDescent="0.25">
      <c r="B3" s="2"/>
    </row>
    <row r="4" spans="2:7" ht="18.75" x14ac:dyDescent="0.3">
      <c r="B4" s="72" t="s">
        <v>12</v>
      </c>
      <c r="C4" s="72" t="s">
        <v>22</v>
      </c>
      <c r="D4" s="72" t="s">
        <v>13</v>
      </c>
      <c r="E4" s="72" t="s">
        <v>28</v>
      </c>
      <c r="F4" s="72" t="s">
        <v>14</v>
      </c>
      <c r="G4" s="72" t="s">
        <v>15</v>
      </c>
    </row>
    <row r="5" spans="2:7" x14ac:dyDescent="0.25">
      <c r="B5" s="5" t="s">
        <v>2</v>
      </c>
      <c r="D5" s="7"/>
      <c r="E5" s="7"/>
      <c r="F5" s="6"/>
      <c r="G5" s="8">
        <v>1000</v>
      </c>
    </row>
    <row r="6" spans="2:7" x14ac:dyDescent="0.25">
      <c r="B6" s="5" t="s">
        <v>3</v>
      </c>
      <c r="D6" s="7"/>
      <c r="E6" s="7"/>
      <c r="F6" s="6"/>
      <c r="G6" s="8">
        <f>SUM(F7:F11)</f>
        <v>17500</v>
      </c>
    </row>
    <row r="7" spans="2:7" x14ac:dyDescent="0.25">
      <c r="C7" t="s">
        <v>4</v>
      </c>
      <c r="D7" s="7"/>
      <c r="E7" s="7"/>
      <c r="F7" s="6">
        <v>10000</v>
      </c>
      <c r="G7" s="8"/>
    </row>
    <row r="8" spans="2:7" x14ac:dyDescent="0.25">
      <c r="C8" t="s">
        <v>5</v>
      </c>
      <c r="D8" s="7"/>
      <c r="E8" s="7"/>
      <c r="F8" s="6">
        <v>500</v>
      </c>
      <c r="G8" s="8"/>
    </row>
    <row r="9" spans="2:7" x14ac:dyDescent="0.25">
      <c r="C9" t="s">
        <v>6</v>
      </c>
      <c r="D9" s="7"/>
      <c r="E9" s="7"/>
      <c r="F9" s="6">
        <v>3000</v>
      </c>
      <c r="G9" s="8"/>
    </row>
    <row r="10" spans="2:7" x14ac:dyDescent="0.25">
      <c r="C10" t="s">
        <v>7</v>
      </c>
      <c r="D10" s="7"/>
      <c r="E10" s="7"/>
      <c r="F10" s="6">
        <v>2500</v>
      </c>
      <c r="G10" s="8"/>
    </row>
    <row r="11" spans="2:7" x14ac:dyDescent="0.25">
      <c r="C11" t="s">
        <v>9</v>
      </c>
      <c r="D11" s="7"/>
      <c r="E11" s="7" t="s">
        <v>29</v>
      </c>
      <c r="F11" s="6">
        <v>1500</v>
      </c>
      <c r="G11" s="8"/>
    </row>
    <row r="12" spans="2:7" x14ac:dyDescent="0.25">
      <c r="B12" s="5" t="s">
        <v>10</v>
      </c>
      <c r="D12" s="7"/>
      <c r="E12" s="9"/>
      <c r="F12" s="6"/>
      <c r="G12" s="8">
        <v>900</v>
      </c>
    </row>
    <row r="13" spans="2:7" x14ac:dyDescent="0.25">
      <c r="B13" s="5" t="s">
        <v>6</v>
      </c>
      <c r="D13" s="7"/>
      <c r="E13" s="7"/>
      <c r="F13" s="6"/>
      <c r="G13" s="8">
        <v>6000</v>
      </c>
    </row>
    <row r="14" spans="2:7" x14ac:dyDescent="0.25">
      <c r="B14" s="5" t="s">
        <v>27</v>
      </c>
      <c r="D14" s="7"/>
      <c r="E14" s="7"/>
      <c r="F14" s="6"/>
      <c r="G14" s="8">
        <f>SUM(F15:F19)</f>
        <v>5300</v>
      </c>
    </row>
    <row r="15" spans="2:7" x14ac:dyDescent="0.25">
      <c r="C15" t="s">
        <v>23</v>
      </c>
      <c r="D15" s="7"/>
      <c r="E15" s="7"/>
      <c r="F15" s="6">
        <v>800</v>
      </c>
      <c r="G15" s="8"/>
    </row>
    <row r="16" spans="2:7" x14ac:dyDescent="0.25">
      <c r="C16" t="s">
        <v>24</v>
      </c>
      <c r="D16" s="7"/>
      <c r="E16" s="7"/>
      <c r="F16" s="6">
        <v>3200</v>
      </c>
      <c r="G16" s="8"/>
    </row>
    <row r="17" spans="2:7" x14ac:dyDescent="0.25">
      <c r="C17" t="s">
        <v>25</v>
      </c>
      <c r="D17" s="7"/>
      <c r="E17" s="7"/>
      <c r="F17" s="6">
        <v>500</v>
      </c>
      <c r="G17" s="8"/>
    </row>
    <row r="18" spans="2:7" x14ac:dyDescent="0.25">
      <c r="C18" t="s">
        <v>26</v>
      </c>
      <c r="D18" s="7"/>
      <c r="E18" s="7"/>
      <c r="F18" s="6">
        <v>800</v>
      </c>
      <c r="G18" s="8"/>
    </row>
    <row r="19" spans="2:7" x14ac:dyDescent="0.25">
      <c r="C19" t="s">
        <v>9</v>
      </c>
      <c r="D19" s="7"/>
      <c r="E19" s="7"/>
      <c r="F19" s="6">
        <v>0</v>
      </c>
      <c r="G19" s="8"/>
    </row>
    <row r="20" spans="2:7" x14ac:dyDescent="0.25">
      <c r="B20" s="5" t="s">
        <v>11</v>
      </c>
      <c r="D20" s="7"/>
      <c r="E20" s="7"/>
      <c r="F20" s="6"/>
      <c r="G20" s="8">
        <v>300</v>
      </c>
    </row>
    <row r="21" spans="2:7" x14ac:dyDescent="0.25">
      <c r="B21" s="5" t="s">
        <v>16</v>
      </c>
      <c r="D21" s="7"/>
      <c r="E21" s="7"/>
      <c r="F21" s="6"/>
      <c r="G21" s="8">
        <f>SUM(F22:F27)</f>
        <v>11950</v>
      </c>
    </row>
    <row r="22" spans="2:7" x14ac:dyDescent="0.25">
      <c r="C22" t="s">
        <v>17</v>
      </c>
      <c r="D22" s="7"/>
      <c r="E22" s="7"/>
      <c r="F22" s="6">
        <v>1650</v>
      </c>
      <c r="G22" s="8"/>
    </row>
    <row r="23" spans="2:7" x14ac:dyDescent="0.25">
      <c r="C23" t="s">
        <v>18</v>
      </c>
      <c r="D23" s="7"/>
      <c r="E23" s="7"/>
      <c r="F23" s="6">
        <v>3000</v>
      </c>
      <c r="G23" s="8"/>
    </row>
    <row r="24" spans="2:7" x14ac:dyDescent="0.25">
      <c r="C24" t="s">
        <v>19</v>
      </c>
      <c r="D24" s="7"/>
      <c r="E24" s="7"/>
      <c r="F24" s="6">
        <v>3000</v>
      </c>
      <c r="G24" s="8"/>
    </row>
    <row r="25" spans="2:7" x14ac:dyDescent="0.25">
      <c r="C25" t="s">
        <v>20</v>
      </c>
      <c r="D25" s="7"/>
      <c r="E25" s="7"/>
      <c r="F25" s="6">
        <v>2700</v>
      </c>
      <c r="G25" s="8"/>
    </row>
    <row r="26" spans="2:7" x14ac:dyDescent="0.25">
      <c r="C26" t="s">
        <v>8</v>
      </c>
      <c r="D26" s="7"/>
      <c r="E26" s="7"/>
      <c r="F26" s="6">
        <v>1500</v>
      </c>
      <c r="G26" s="8"/>
    </row>
    <row r="27" spans="2:7" x14ac:dyDescent="0.25">
      <c r="C27" t="s">
        <v>9</v>
      </c>
      <c r="D27" s="7"/>
      <c r="E27" s="7"/>
      <c r="F27" s="6">
        <v>100</v>
      </c>
      <c r="G27" s="8"/>
    </row>
    <row r="28" spans="2:7" x14ac:dyDescent="0.25">
      <c r="B28" s="5" t="s">
        <v>21</v>
      </c>
      <c r="D28" s="7"/>
      <c r="E28" s="7"/>
      <c r="F28" s="6"/>
      <c r="G28" s="8">
        <v>1500</v>
      </c>
    </row>
    <row r="29" spans="2:7" x14ac:dyDescent="0.25">
      <c r="B29" s="5" t="s">
        <v>9</v>
      </c>
      <c r="D29" s="7"/>
      <c r="E29" s="7"/>
      <c r="F29" s="6"/>
      <c r="G29" s="8">
        <v>957</v>
      </c>
    </row>
    <row r="31" spans="2:7" ht="18.75" x14ac:dyDescent="0.3">
      <c r="B31" s="10" t="s">
        <v>30</v>
      </c>
      <c r="G31" s="16">
        <f>SUM(Tabela1[[#All],[Valor Final]])</f>
        <v>45407</v>
      </c>
    </row>
    <row r="32" spans="2:7" ht="18.75" x14ac:dyDescent="0.3">
      <c r="B32" s="13" t="s">
        <v>84</v>
      </c>
      <c r="C32" s="14"/>
      <c r="D32" s="14"/>
      <c r="E32" s="14"/>
      <c r="F32" s="14"/>
      <c r="G32" s="15">
        <f>SUM(Tabela2[[#All],[Valor Pago]])</f>
        <v>22849.632049999997</v>
      </c>
    </row>
    <row r="33" spans="2:7" ht="18.75" x14ac:dyDescent="0.3">
      <c r="B33" s="13" t="s">
        <v>85</v>
      </c>
      <c r="G33" s="17">
        <f>SUM(G31:G32)</f>
        <v>68256.63205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3C82B-8261-4854-A92E-80E650F985DA}">
  <sheetPr codeName="Planilha3"/>
  <dimension ref="B2:I50"/>
  <sheetViews>
    <sheetView showGridLines="0" topLeftCell="A38" zoomScaleNormal="100" workbookViewId="0"/>
  </sheetViews>
  <sheetFormatPr defaultRowHeight="15" x14ac:dyDescent="0.25"/>
  <cols>
    <col min="2" max="2" width="15.140625" customWidth="1"/>
    <col min="3" max="3" width="30.28515625" bestFit="1" customWidth="1"/>
    <col min="4" max="6" width="15.140625" customWidth="1"/>
    <col min="7" max="7" width="15.85546875" customWidth="1"/>
    <col min="8" max="8" width="15.140625" customWidth="1"/>
    <col min="9" max="9" width="18.140625" bestFit="1" customWidth="1"/>
  </cols>
  <sheetData>
    <row r="2" spans="2:9" s="4" customFormat="1" ht="27.95" customHeight="1" x14ac:dyDescent="0.25">
      <c r="B2" s="3" t="s">
        <v>31</v>
      </c>
    </row>
    <row r="3" spans="2:9" s="74" customFormat="1" ht="15.75" customHeight="1" x14ac:dyDescent="0.25">
      <c r="B3" s="73"/>
    </row>
    <row r="5" spans="2:9" x14ac:dyDescent="0.25">
      <c r="B5" s="7" t="s">
        <v>13</v>
      </c>
      <c r="C5" t="s">
        <v>49</v>
      </c>
      <c r="D5" t="s">
        <v>50</v>
      </c>
      <c r="E5" t="s">
        <v>51</v>
      </c>
      <c r="F5" t="s">
        <v>52</v>
      </c>
      <c r="G5" t="s">
        <v>53</v>
      </c>
      <c r="H5" t="s">
        <v>54</v>
      </c>
      <c r="I5" t="s">
        <v>55</v>
      </c>
    </row>
    <row r="6" spans="2:9" x14ac:dyDescent="0.25">
      <c r="B6" s="7">
        <v>45123</v>
      </c>
      <c r="C6" t="s">
        <v>166</v>
      </c>
      <c r="D6" t="s">
        <v>128</v>
      </c>
      <c r="E6" t="str">
        <f>IFERROR(VLOOKUP(Tabela2[[#This Row],[Mercadoria]],cálculos!$I$3:$L$60,4,0),"")</f>
        <v>Kg</v>
      </c>
      <c r="F6" s="12">
        <v>50</v>
      </c>
      <c r="G6" s="6">
        <f>IFERROR(VLOOKUP(Tabela2[[#This Row],[Mercadoria]],cálculos!$I$3:$L$60,2,0),0)</f>
        <v>4</v>
      </c>
      <c r="H6" s="11"/>
      <c r="I6" s="6">
        <f>Tabela2[[#This Row],[Quantidade]]*Tabela2[[#This Row],[Preço Unitário]]*(1-Tabela2[[#This Row],[Desconto]])</f>
        <v>200</v>
      </c>
    </row>
    <row r="7" spans="2:9" x14ac:dyDescent="0.25">
      <c r="B7" s="7">
        <v>45123</v>
      </c>
      <c r="C7" t="s">
        <v>166</v>
      </c>
      <c r="D7" t="s">
        <v>124</v>
      </c>
      <c r="E7" t="str">
        <f>IFERROR(VLOOKUP(Tabela2[[#This Row],[Mercadoria]],cálculos!$I$3:$L$60,4,0),"")</f>
        <v>Kg</v>
      </c>
      <c r="F7" s="12">
        <v>20</v>
      </c>
      <c r="G7" s="6">
        <f>IFERROR(VLOOKUP(Tabela2[[#This Row],[Mercadoria]],cálculos!$I$3:$L$60,2,0),0)</f>
        <v>1.9</v>
      </c>
      <c r="H7" s="11"/>
      <c r="I7" s="6">
        <f>Tabela2[[#This Row],[Quantidade]]*Tabela2[[#This Row],[Preço Unitário]]*(1-Tabela2[[#This Row],[Desconto]])</f>
        <v>38</v>
      </c>
    </row>
    <row r="8" spans="2:9" x14ac:dyDescent="0.25">
      <c r="B8" s="7">
        <v>45123</v>
      </c>
      <c r="C8" t="s">
        <v>166</v>
      </c>
      <c r="D8" t="s">
        <v>34</v>
      </c>
      <c r="E8" t="str">
        <f>IFERROR(VLOOKUP(Tabela2[[#This Row],[Mercadoria]],cálculos!$I$3:$L$60,4,0),"")</f>
        <v>Kg</v>
      </c>
      <c r="F8" s="12">
        <v>100</v>
      </c>
      <c r="G8" s="6">
        <f>IFERROR(VLOOKUP(Tabela2[[#This Row],[Mercadoria]],cálculos!$I$3:$L$60,2,0),0)</f>
        <v>5.3544000000000009</v>
      </c>
      <c r="H8" s="11"/>
      <c r="I8" s="6">
        <f>Tabela2[[#This Row],[Quantidade]]*Tabela2[[#This Row],[Preço Unitário]]*(1-Tabela2[[#This Row],[Desconto]])</f>
        <v>535.44000000000005</v>
      </c>
    </row>
    <row r="9" spans="2:9" x14ac:dyDescent="0.25">
      <c r="B9" s="7">
        <v>45123</v>
      </c>
      <c r="C9" t="s">
        <v>74</v>
      </c>
      <c r="D9" t="s">
        <v>135</v>
      </c>
      <c r="E9" t="str">
        <f>IFERROR(VLOOKUP(Tabela2[[#This Row],[Mercadoria]],cálculos!$I$3:$L$60,4,0),"")</f>
        <v>Kg</v>
      </c>
      <c r="F9" s="12">
        <v>50</v>
      </c>
      <c r="G9" s="6">
        <f>IFERROR(VLOOKUP(Tabela2[[#This Row],[Mercadoria]],cálculos!$I$3:$L$60,2,0),0)</f>
        <v>1.9</v>
      </c>
      <c r="H9" s="11"/>
      <c r="I9" s="6">
        <f>Tabela2[[#This Row],[Quantidade]]*Tabela2[[#This Row],[Preço Unitário]]*(1-Tabela2[[#This Row],[Desconto]])</f>
        <v>95</v>
      </c>
    </row>
    <row r="10" spans="2:9" x14ac:dyDescent="0.25">
      <c r="B10" s="7">
        <v>45123</v>
      </c>
      <c r="C10" t="s">
        <v>74</v>
      </c>
      <c r="D10" t="s">
        <v>132</v>
      </c>
      <c r="E10" t="str">
        <f>IFERROR(VLOOKUP(Tabela2[[#This Row],[Mercadoria]],cálculos!$I$3:$L$60,4,0),"")</f>
        <v>Kg</v>
      </c>
      <c r="F10" s="12">
        <v>50</v>
      </c>
      <c r="G10" s="6">
        <f>IFERROR(VLOOKUP(Tabela2[[#This Row],[Mercadoria]],cálculos!$I$3:$L$60,2,0),0)</f>
        <v>0.8</v>
      </c>
      <c r="H10" s="11"/>
      <c r="I10" s="6">
        <f>Tabela2[[#This Row],[Quantidade]]*Tabela2[[#This Row],[Preço Unitário]]*(1-Tabela2[[#This Row],[Desconto]])</f>
        <v>40</v>
      </c>
    </row>
    <row r="11" spans="2:9" x14ac:dyDescent="0.25">
      <c r="B11" s="7">
        <v>45123</v>
      </c>
      <c r="C11" t="s">
        <v>74</v>
      </c>
      <c r="D11" t="s">
        <v>126</v>
      </c>
      <c r="E11" t="str">
        <f>IFERROR(VLOOKUP(Tabela2[[#This Row],[Mercadoria]],cálculos!$I$3:$L$60,4,0),"")</f>
        <v>Unidade</v>
      </c>
      <c r="F11" s="12">
        <v>15</v>
      </c>
      <c r="G11" s="6">
        <f>IFERROR(VLOOKUP(Tabela2[[#This Row],[Mercadoria]],cálculos!$I$3:$L$60,2,0),0)</f>
        <v>1.75</v>
      </c>
      <c r="H11" s="11"/>
      <c r="I11" s="6">
        <f>Tabela2[[#This Row],[Quantidade]]*Tabela2[[#This Row],[Preço Unitário]]*(1-Tabela2[[#This Row],[Desconto]])</f>
        <v>26.25</v>
      </c>
    </row>
    <row r="12" spans="2:9" x14ac:dyDescent="0.25">
      <c r="B12" s="7">
        <v>45123</v>
      </c>
      <c r="C12" t="s">
        <v>74</v>
      </c>
      <c r="D12" t="s">
        <v>136</v>
      </c>
      <c r="E12" t="str">
        <f>IFERROR(VLOOKUP(Tabela2[[#This Row],[Mercadoria]],cálculos!$I$3:$L$60,4,0),"")</f>
        <v>Unidade</v>
      </c>
      <c r="F12" s="12">
        <v>30</v>
      </c>
      <c r="G12" s="6">
        <f>IFERROR(VLOOKUP(Tabela2[[#This Row],[Mercadoria]],cálculos!$I$3:$L$60,2,0),0)</f>
        <v>3</v>
      </c>
      <c r="H12" s="11"/>
      <c r="I12" s="6">
        <f>Tabela2[[#This Row],[Quantidade]]*Tabela2[[#This Row],[Preço Unitário]]*(1-Tabela2[[#This Row],[Desconto]])</f>
        <v>90</v>
      </c>
    </row>
    <row r="13" spans="2:9" x14ac:dyDescent="0.25">
      <c r="B13" s="7">
        <v>45123</v>
      </c>
      <c r="C13" t="s">
        <v>166</v>
      </c>
      <c r="D13" t="s">
        <v>120</v>
      </c>
      <c r="E13" t="str">
        <f>IFERROR(VLOOKUP(Tabela2[[#This Row],[Mercadoria]],cálculos!$I$3:$L$60,4,0),"")</f>
        <v>Kg</v>
      </c>
      <c r="F13" s="12">
        <v>100</v>
      </c>
      <c r="G13" s="6">
        <f>IFERROR(VLOOKUP(Tabela2[[#This Row],[Mercadoria]],cálculos!$I$3:$L$60,2,0),0)</f>
        <v>1.75</v>
      </c>
      <c r="H13" s="11"/>
      <c r="I13" s="6">
        <f>Tabela2[[#This Row],[Quantidade]]*Tabela2[[#This Row],[Preço Unitário]]*(1-Tabela2[[#This Row],[Desconto]])</f>
        <v>175</v>
      </c>
    </row>
    <row r="14" spans="2:9" x14ac:dyDescent="0.25">
      <c r="B14" s="7">
        <v>45123</v>
      </c>
      <c r="C14" t="s">
        <v>166</v>
      </c>
      <c r="D14" t="s">
        <v>134</v>
      </c>
      <c r="E14" t="str">
        <f>IFERROR(VLOOKUP(Tabela2[[#This Row],[Mercadoria]],cálculos!$I$3:$L$60,4,0),"")</f>
        <v>Kg</v>
      </c>
      <c r="F14" s="12">
        <v>50</v>
      </c>
      <c r="G14" s="6">
        <f>IFERROR(VLOOKUP(Tabela2[[#This Row],[Mercadoria]],cálculos!$I$3:$L$60,2,0),0)</f>
        <v>10</v>
      </c>
      <c r="H14" s="11"/>
      <c r="I14" s="6">
        <f>Tabela2[[#This Row],[Quantidade]]*Tabela2[[#This Row],[Preço Unitário]]*(1-Tabela2[[#This Row],[Desconto]])</f>
        <v>500</v>
      </c>
    </row>
    <row r="15" spans="2:9" x14ac:dyDescent="0.25">
      <c r="B15" s="7">
        <v>45123</v>
      </c>
      <c r="C15" t="s">
        <v>166</v>
      </c>
      <c r="D15" t="s">
        <v>123</v>
      </c>
      <c r="E15" t="str">
        <f>IFERROR(VLOOKUP(Tabela2[[#This Row],[Mercadoria]],cálculos!$I$3:$L$60,4,0),"")</f>
        <v>Kg</v>
      </c>
      <c r="F15" s="12">
        <v>10</v>
      </c>
      <c r="G15" s="6">
        <f>IFERROR(VLOOKUP(Tabela2[[#This Row],[Mercadoria]],cálculos!$I$3:$L$60,2,0),0)</f>
        <v>2.8</v>
      </c>
      <c r="H15" s="11"/>
      <c r="I15" s="6">
        <f>Tabela2[[#This Row],[Quantidade]]*Tabela2[[#This Row],[Preço Unitário]]*(1-Tabela2[[#This Row],[Desconto]])</f>
        <v>28</v>
      </c>
    </row>
    <row r="16" spans="2:9" x14ac:dyDescent="0.25">
      <c r="B16" s="7">
        <v>45123</v>
      </c>
      <c r="C16" t="s">
        <v>166</v>
      </c>
      <c r="D16" t="s">
        <v>129</v>
      </c>
      <c r="E16" t="str">
        <f>IFERROR(VLOOKUP(Tabela2[[#This Row],[Mercadoria]],cálculos!$I$3:$L$60,4,0),"")</f>
        <v>Unidade</v>
      </c>
      <c r="F16" s="12">
        <v>40</v>
      </c>
      <c r="G16" s="6">
        <f>IFERROR(VLOOKUP(Tabela2[[#This Row],[Mercadoria]],cálculos!$I$3:$L$60,2,0),0)</f>
        <v>3</v>
      </c>
      <c r="H16" s="11"/>
      <c r="I16" s="6">
        <f>Tabela2[[#This Row],[Quantidade]]*Tabela2[[#This Row],[Preço Unitário]]*(1-Tabela2[[#This Row],[Desconto]])</f>
        <v>120</v>
      </c>
    </row>
    <row r="17" spans="2:9" x14ac:dyDescent="0.25">
      <c r="B17" s="7">
        <v>45123</v>
      </c>
      <c r="C17" t="s">
        <v>74</v>
      </c>
      <c r="D17" t="s">
        <v>133</v>
      </c>
      <c r="E17" t="str">
        <f>IFERROR(VLOOKUP(Tabela2[[#This Row],[Mercadoria]],cálculos!$I$3:$L$60,4,0),"")</f>
        <v>Kg</v>
      </c>
      <c r="F17" s="12">
        <v>80</v>
      </c>
      <c r="G17" s="6">
        <f>IFERROR(VLOOKUP(Tabela2[[#This Row],[Mercadoria]],cálculos!$I$3:$L$60,2,0),0)</f>
        <v>0.97</v>
      </c>
      <c r="H17" s="11"/>
      <c r="I17" s="6">
        <f>Tabela2[[#This Row],[Quantidade]]*Tabela2[[#This Row],[Preço Unitário]]*(1-Tabela2[[#This Row],[Desconto]])</f>
        <v>77.599999999999994</v>
      </c>
    </row>
    <row r="18" spans="2:9" x14ac:dyDescent="0.25">
      <c r="B18" s="7">
        <v>45123</v>
      </c>
      <c r="C18" t="s">
        <v>74</v>
      </c>
      <c r="D18" t="s">
        <v>131</v>
      </c>
      <c r="E18" t="str">
        <f>IFERROR(VLOOKUP(Tabela2[[#This Row],[Mercadoria]],cálculos!$I$3:$L$60,4,0),"")</f>
        <v>Kg</v>
      </c>
      <c r="F18" s="12">
        <v>100</v>
      </c>
      <c r="G18" s="6">
        <f>IFERROR(VLOOKUP(Tabela2[[#This Row],[Mercadoria]],cálculos!$I$3:$L$60,2,0),0)</f>
        <v>1.0900000000000001</v>
      </c>
      <c r="H18" s="11"/>
      <c r="I18" s="6">
        <f>Tabela2[[#This Row],[Quantidade]]*Tabela2[[#This Row],[Preço Unitário]]*(1-Tabela2[[#This Row],[Desconto]])</f>
        <v>109.00000000000001</v>
      </c>
    </row>
    <row r="19" spans="2:9" x14ac:dyDescent="0.25">
      <c r="B19" s="7">
        <v>45123</v>
      </c>
      <c r="C19" t="s">
        <v>74</v>
      </c>
      <c r="D19" t="s">
        <v>125</v>
      </c>
      <c r="E19" t="str">
        <f>IFERROR(VLOOKUP(Tabela2[[#This Row],[Mercadoria]],cálculos!$I$3:$L$60,4,0),"")</f>
        <v>Unidade</v>
      </c>
      <c r="F19" s="12">
        <v>80</v>
      </c>
      <c r="G19" s="6">
        <f>IFERROR(VLOOKUP(Tabela2[[#This Row],[Mercadoria]],cálculos!$I$3:$L$60,2,0),0)</f>
        <v>2</v>
      </c>
      <c r="H19" s="11"/>
      <c r="I19" s="6">
        <f>Tabela2[[#This Row],[Quantidade]]*Tabela2[[#This Row],[Preço Unitário]]*(1-Tabela2[[#This Row],[Desconto]])</f>
        <v>160</v>
      </c>
    </row>
    <row r="20" spans="2:9" x14ac:dyDescent="0.25">
      <c r="B20" s="7">
        <v>45122</v>
      </c>
      <c r="C20" t="s">
        <v>74</v>
      </c>
      <c r="D20" t="s">
        <v>137</v>
      </c>
      <c r="E20" t="str">
        <f>IFERROR(VLOOKUP(Tabela2[[#This Row],[Mercadoria]],cálculos!$I$3:$L$60,4,0),"")</f>
        <v>Kg</v>
      </c>
      <c r="F20" s="12">
        <v>50</v>
      </c>
      <c r="G20" s="6">
        <f>IFERROR(VLOOKUP(Tabela2[[#This Row],[Mercadoria]],cálculos!$I$3:$L$60,2,0),0)</f>
        <v>2.75</v>
      </c>
      <c r="H20" s="11"/>
      <c r="I20" s="6">
        <f>Tabela2[[#This Row],[Quantidade]]*Tabela2[[#This Row],[Preço Unitário]]*(1-Tabela2[[#This Row],[Desconto]])</f>
        <v>137.5</v>
      </c>
    </row>
    <row r="21" spans="2:9" x14ac:dyDescent="0.25">
      <c r="B21" s="7">
        <v>45122</v>
      </c>
      <c r="C21" t="s">
        <v>74</v>
      </c>
      <c r="D21" t="s">
        <v>47</v>
      </c>
      <c r="E21" t="str">
        <f>IFERROR(VLOOKUP(Tabela2[[#This Row],[Mercadoria]],cálculos!$I$3:$L$60,4,0),"")</f>
        <v>Unidade</v>
      </c>
      <c r="F21" s="12">
        <v>200</v>
      </c>
      <c r="G21" s="6">
        <f>IFERROR(VLOOKUP(Tabela2[[#This Row],[Mercadoria]],cálculos!$I$3:$L$60,2,0),0)</f>
        <v>2.3660000000000001</v>
      </c>
      <c r="H21" s="11"/>
      <c r="I21" s="6">
        <f>Tabela2[[#This Row],[Quantidade]]*Tabela2[[#This Row],[Preço Unitário]]*(1-Tabela2[[#This Row],[Desconto]])</f>
        <v>473.20000000000005</v>
      </c>
    </row>
    <row r="22" spans="2:9" x14ac:dyDescent="0.25">
      <c r="B22" s="7">
        <v>45122</v>
      </c>
      <c r="C22" t="s">
        <v>74</v>
      </c>
      <c r="D22" t="s">
        <v>119</v>
      </c>
      <c r="E22" t="str">
        <f>IFERROR(VLOOKUP(Tabela2[[#This Row],[Mercadoria]],cálculos!$I$3:$L$60,4,0),"")</f>
        <v>Kg</v>
      </c>
      <c r="F22" s="12">
        <v>150</v>
      </c>
      <c r="G22" s="6">
        <f>IFERROR(VLOOKUP(Tabela2[[#This Row],[Mercadoria]],cálculos!$I$3:$L$60,2,0),0)</f>
        <v>1.8</v>
      </c>
      <c r="H22" s="11"/>
      <c r="I22" s="6">
        <f>Tabela2[[#This Row],[Quantidade]]*Tabela2[[#This Row],[Preço Unitário]]*(1-Tabela2[[#This Row],[Desconto]])</f>
        <v>270</v>
      </c>
    </row>
    <row r="23" spans="2:9" x14ac:dyDescent="0.25">
      <c r="B23" s="7">
        <v>45122</v>
      </c>
      <c r="C23" t="s">
        <v>74</v>
      </c>
      <c r="D23" t="s">
        <v>118</v>
      </c>
      <c r="E23" t="str">
        <f>IFERROR(VLOOKUP(Tabela2[[#This Row],[Mercadoria]],cálculos!$I$3:$L$60,4,0),"")</f>
        <v>Kg</v>
      </c>
      <c r="F23" s="12">
        <v>200</v>
      </c>
      <c r="G23" s="6">
        <f>IFERROR(VLOOKUP(Tabela2[[#This Row],[Mercadoria]],cálculos!$I$3:$L$60,2,0),0)</f>
        <v>0.5</v>
      </c>
      <c r="H23" s="11"/>
      <c r="I23" s="6">
        <f>Tabela2[[#This Row],[Quantidade]]*Tabela2[[#This Row],[Preço Unitário]]*(1-Tabela2[[#This Row],[Desconto]])</f>
        <v>100</v>
      </c>
    </row>
    <row r="24" spans="2:9" x14ac:dyDescent="0.25">
      <c r="B24" s="7">
        <v>45122</v>
      </c>
      <c r="C24" t="s">
        <v>166</v>
      </c>
      <c r="D24" t="s">
        <v>122</v>
      </c>
      <c r="E24" t="str">
        <f>IFERROR(VLOOKUP(Tabela2[[#This Row],[Mercadoria]],cálculos!$I$3:$L$60,4,0),"")</f>
        <v>Kg</v>
      </c>
      <c r="F24" s="12">
        <v>200</v>
      </c>
      <c r="G24" s="6">
        <f>IFERROR(VLOOKUP(Tabela2[[#This Row],[Mercadoria]],cálculos!$I$3:$L$60,2,0),0)</f>
        <v>3</v>
      </c>
      <c r="H24" s="11"/>
      <c r="I24" s="6">
        <f>Tabela2[[#This Row],[Quantidade]]*Tabela2[[#This Row],[Preço Unitário]]*(1-Tabela2[[#This Row],[Desconto]])</f>
        <v>600</v>
      </c>
    </row>
    <row r="25" spans="2:9" x14ac:dyDescent="0.25">
      <c r="B25" s="7">
        <v>45122</v>
      </c>
      <c r="C25" t="s">
        <v>166</v>
      </c>
      <c r="D25" t="s">
        <v>121</v>
      </c>
      <c r="E25" t="str">
        <f>IFERROR(VLOOKUP(Tabela2[[#This Row],[Mercadoria]],cálculos!$I$3:$L$60,4,0),"")</f>
        <v>Kg</v>
      </c>
      <c r="F25" s="12">
        <v>300</v>
      </c>
      <c r="G25" s="6">
        <f>IFERROR(VLOOKUP(Tabela2[[#This Row],[Mercadoria]],cálculos!$I$3:$L$60,2,0),0)</f>
        <v>4</v>
      </c>
      <c r="H25" s="11"/>
      <c r="I25" s="6">
        <f>Tabela2[[#This Row],[Quantidade]]*Tabela2[[#This Row],[Preço Unitário]]*(1-Tabela2[[#This Row],[Desconto]])</f>
        <v>1200</v>
      </c>
    </row>
    <row r="26" spans="2:9" x14ac:dyDescent="0.25">
      <c r="B26" s="7">
        <v>45122</v>
      </c>
      <c r="C26" t="s">
        <v>74</v>
      </c>
      <c r="D26" t="s">
        <v>130</v>
      </c>
      <c r="E26" t="str">
        <f>IFERROR(VLOOKUP(Tabela2[[#This Row],[Mercadoria]],cálculos!$I$3:$L$60,4,0),"")</f>
        <v>Kg</v>
      </c>
      <c r="F26" s="12">
        <v>200</v>
      </c>
      <c r="G26" s="6">
        <f>IFERROR(VLOOKUP(Tabela2[[#This Row],[Mercadoria]],cálculos!$I$3:$L$60,2,0),0)</f>
        <v>1.05</v>
      </c>
      <c r="H26" s="11"/>
      <c r="I26" s="6">
        <f>Tabela2[[#This Row],[Quantidade]]*Tabela2[[#This Row],[Preço Unitário]]*(1-Tabela2[[#This Row],[Desconto]])</f>
        <v>210</v>
      </c>
    </row>
    <row r="27" spans="2:9" x14ac:dyDescent="0.25">
      <c r="B27" s="7">
        <v>45120</v>
      </c>
      <c r="C27" t="s">
        <v>76</v>
      </c>
      <c r="D27" t="s">
        <v>40</v>
      </c>
      <c r="E27" t="str">
        <f>IFERROR(VLOOKUP(Tabela2[[#This Row],[Mercadoria]],cálculos!$I$3:$L$60,4,0),"")</f>
        <v>Garrafa</v>
      </c>
      <c r="F27" s="12">
        <v>150</v>
      </c>
      <c r="G27" s="6">
        <f>IFERROR(VLOOKUP(Tabela2[[#This Row],[Mercadoria]],cálculos!$I$3:$L$60,2,0),0)</f>
        <v>26.012999999999998</v>
      </c>
      <c r="H27" s="11"/>
      <c r="I27" s="6">
        <f>Tabela2[[#This Row],[Quantidade]]*Tabela2[[#This Row],[Preço Unitário]]*(1-Tabela2[[#This Row],[Desconto]])</f>
        <v>3901.95</v>
      </c>
    </row>
    <row r="28" spans="2:9" x14ac:dyDescent="0.25">
      <c r="B28" s="7">
        <v>45120</v>
      </c>
      <c r="C28" t="s">
        <v>74</v>
      </c>
      <c r="D28" t="s">
        <v>47</v>
      </c>
      <c r="E28" t="str">
        <f>IFERROR(VLOOKUP(Tabela2[[#This Row],[Mercadoria]],cálculos!$I$3:$L$60,4,0),"")</f>
        <v>Unidade</v>
      </c>
      <c r="F28" s="12">
        <v>100</v>
      </c>
      <c r="G28" s="6">
        <f>IFERROR(VLOOKUP(Tabela2[[#This Row],[Mercadoria]],cálculos!$I$3:$L$60,2,0),0)</f>
        <v>2.3660000000000001</v>
      </c>
      <c r="H28" s="11"/>
      <c r="I28" s="6">
        <f>Tabela2[[#This Row],[Quantidade]]*Tabela2[[#This Row],[Preço Unitário]]*(1-Tabela2[[#This Row],[Desconto]])</f>
        <v>236.60000000000002</v>
      </c>
    </row>
    <row r="29" spans="2:9" x14ac:dyDescent="0.25">
      <c r="B29" s="7">
        <v>45119</v>
      </c>
      <c r="C29" t="s">
        <v>75</v>
      </c>
      <c r="D29" t="s">
        <v>32</v>
      </c>
      <c r="E29" t="str">
        <f>IFERROR(VLOOKUP(Tabela2[[#This Row],[Mercadoria]],cálculos!$I$3:$L$60,4,0),"")</f>
        <v>Kg</v>
      </c>
      <c r="F29" s="12">
        <v>200</v>
      </c>
      <c r="G29" s="6">
        <f>IFERROR(VLOOKUP(Tabela2[[#This Row],[Mercadoria]],cálculos!$I$3:$L$60,2,0),0)</f>
        <v>2.3406000000000002</v>
      </c>
      <c r="H29" s="11"/>
      <c r="I29" s="6">
        <f>Tabela2[[#This Row],[Quantidade]]*Tabela2[[#This Row],[Preço Unitário]]*(1-Tabela2[[#This Row],[Desconto]])</f>
        <v>468.12000000000006</v>
      </c>
    </row>
    <row r="30" spans="2:9" x14ac:dyDescent="0.25">
      <c r="B30" s="7">
        <v>45119</v>
      </c>
      <c r="C30" t="s">
        <v>74</v>
      </c>
      <c r="D30" t="s">
        <v>35</v>
      </c>
      <c r="E30" t="str">
        <f>IFERROR(VLOOKUP(Tabela2[[#This Row],[Mercadoria]],cálculos!$I$3:$L$60,4,0),"")</f>
        <v>Unidade</v>
      </c>
      <c r="F30" s="12">
        <v>100</v>
      </c>
      <c r="G30" s="6">
        <f>IFERROR(VLOOKUP(Tabela2[[#This Row],[Mercadoria]],cálculos!$I$3:$L$60,2,0),0)</f>
        <v>2.8405</v>
      </c>
      <c r="H30" s="11"/>
      <c r="I30" s="6">
        <f>Tabela2[[#This Row],[Quantidade]]*Tabela2[[#This Row],[Preço Unitário]]*(1-Tabela2[[#This Row],[Desconto]])</f>
        <v>284.05</v>
      </c>
    </row>
    <row r="31" spans="2:9" x14ac:dyDescent="0.25">
      <c r="B31" s="7">
        <v>45119</v>
      </c>
      <c r="C31" t="s">
        <v>82</v>
      </c>
      <c r="D31" t="s">
        <v>42</v>
      </c>
      <c r="E31" t="str">
        <f>IFERROR(VLOOKUP(Tabela2[[#This Row],[Mercadoria]],cálculos!$I$3:$L$60,4,0),"")</f>
        <v>Kg</v>
      </c>
      <c r="F31" s="12">
        <v>100</v>
      </c>
      <c r="G31" s="6">
        <f>IFERROR(VLOOKUP(Tabela2[[#This Row],[Mercadoria]],cálculos!$I$3:$L$60,2,0),0)</f>
        <v>3.6309000000000005</v>
      </c>
      <c r="H31" s="11"/>
      <c r="I31" s="6">
        <f>Tabela2[[#This Row],[Quantidade]]*Tabela2[[#This Row],[Preço Unitário]]*(1-Tabela2[[#This Row],[Desconto]])</f>
        <v>363.09000000000003</v>
      </c>
    </row>
    <row r="32" spans="2:9" x14ac:dyDescent="0.25">
      <c r="B32" s="7">
        <v>45119</v>
      </c>
      <c r="C32" t="s">
        <v>83</v>
      </c>
      <c r="D32" t="s">
        <v>36</v>
      </c>
      <c r="E32" t="str">
        <f>IFERROR(VLOOKUP(Tabela2[[#This Row],[Mercadoria]],cálculos!$I$3:$L$60,4,0),"")</f>
        <v>Kg</v>
      </c>
      <c r="F32" s="12">
        <v>300</v>
      </c>
      <c r="G32" s="6">
        <f>IFERROR(VLOOKUP(Tabela2[[#This Row],[Mercadoria]],cálculos!$I$3:$L$60,2,0),0)</f>
        <v>14.469000000000001</v>
      </c>
      <c r="H32" s="11"/>
      <c r="I32" s="6">
        <f>Tabela2[[#This Row],[Quantidade]]*Tabela2[[#This Row],[Preço Unitário]]*(1-Tabela2[[#This Row],[Desconto]])</f>
        <v>4340.7000000000007</v>
      </c>
    </row>
    <row r="33" spans="2:9" x14ac:dyDescent="0.25">
      <c r="B33" s="7">
        <v>45119</v>
      </c>
      <c r="C33" t="s">
        <v>76</v>
      </c>
      <c r="D33" t="s">
        <v>45</v>
      </c>
      <c r="E33" t="str">
        <f>IFERROR(VLOOKUP(Tabela2[[#This Row],[Mercadoria]],cálculos!$I$3:$L$60,4,0),"")</f>
        <v>Lata</v>
      </c>
      <c r="F33" s="12">
        <v>50</v>
      </c>
      <c r="G33" s="6">
        <f>IFERROR(VLOOKUP(Tabela2[[#This Row],[Mercadoria]],cálculos!$I$3:$L$60,2,0),0)</f>
        <v>2.1023999999999998</v>
      </c>
      <c r="H33" s="11"/>
      <c r="I33" s="6">
        <f>Tabela2[[#This Row],[Quantidade]]*Tabela2[[#This Row],[Preço Unitário]]*(1-Tabela2[[#This Row],[Desconto]])</f>
        <v>105.11999999999999</v>
      </c>
    </row>
    <row r="34" spans="2:9" x14ac:dyDescent="0.25">
      <c r="B34" s="7">
        <v>45084</v>
      </c>
      <c r="C34" t="s">
        <v>76</v>
      </c>
      <c r="D34" t="s">
        <v>45</v>
      </c>
      <c r="E34" t="str">
        <f>IFERROR(VLOOKUP(Tabela2[[#This Row],[Mercadoria]],cálculos!$I$3:$L$60,4,0),"")</f>
        <v>Lata</v>
      </c>
      <c r="F34" s="12">
        <v>300</v>
      </c>
      <c r="G34" s="6">
        <f>IFERROR(VLOOKUP(Tabela2[[#This Row],[Mercadoria]],cálculos!$I$3:$L$60,2,0),0)</f>
        <v>2.1023999999999998</v>
      </c>
      <c r="H34" s="11">
        <v>0.05</v>
      </c>
      <c r="I34" s="6">
        <f>Tabela2[[#This Row],[Quantidade]]*Tabela2[[#This Row],[Preço Unitário]]*(1-Tabela2[[#This Row],[Desconto]])</f>
        <v>599.18399999999986</v>
      </c>
    </row>
    <row r="35" spans="2:9" x14ac:dyDescent="0.25">
      <c r="B35" s="7">
        <v>45084</v>
      </c>
      <c r="C35" t="s">
        <v>80</v>
      </c>
      <c r="D35" t="s">
        <v>37</v>
      </c>
      <c r="E35" t="str">
        <f>IFERROR(VLOOKUP(Tabela2[[#This Row],[Mercadoria]],cálculos!$I$3:$L$60,4,0),"")</f>
        <v>Kg</v>
      </c>
      <c r="F35" s="12">
        <v>100</v>
      </c>
      <c r="G35" s="6">
        <f>IFERROR(VLOOKUP(Tabela2[[#This Row],[Mercadoria]],cálculos!$I$3:$L$60,2,0),0)</f>
        <v>6.4216000000000006</v>
      </c>
      <c r="H35" s="11"/>
      <c r="I35" s="6">
        <f>Tabela2[[#This Row],[Quantidade]]*Tabela2[[#This Row],[Preço Unitário]]*(1-Tabela2[[#This Row],[Desconto]])</f>
        <v>642.16000000000008</v>
      </c>
    </row>
    <row r="36" spans="2:9" x14ac:dyDescent="0.25">
      <c r="B36" s="7">
        <v>45084</v>
      </c>
      <c r="C36" t="s">
        <v>81</v>
      </c>
      <c r="D36" t="s">
        <v>38</v>
      </c>
      <c r="E36" t="str">
        <f>IFERROR(VLOOKUP(Tabela2[[#This Row],[Mercadoria]],cálculos!$I$3:$L$60,4,0),"")</f>
        <v>Kg</v>
      </c>
      <c r="F36" s="12">
        <v>100</v>
      </c>
      <c r="G36" s="6">
        <f>IFERROR(VLOOKUP(Tabela2[[#This Row],[Mercadoria]],cálculos!$I$3:$L$60,2,0),0)</f>
        <v>22.226999999999997</v>
      </c>
      <c r="H36" s="11">
        <v>0.05</v>
      </c>
      <c r="I36" s="6">
        <f>Tabela2[[#This Row],[Quantidade]]*Tabela2[[#This Row],[Preço Unitário]]*(1-Tabela2[[#This Row],[Desconto]])</f>
        <v>2111.5649999999996</v>
      </c>
    </row>
    <row r="37" spans="2:9" x14ac:dyDescent="0.25">
      <c r="B37" s="7">
        <v>45080</v>
      </c>
      <c r="C37" t="s">
        <v>75</v>
      </c>
      <c r="D37" t="s">
        <v>44</v>
      </c>
      <c r="E37" t="str">
        <f>IFERROR(VLOOKUP(Tabela2[[#This Row],[Mercadoria]],cálculos!$I$3:$L$60,4,0),"")</f>
        <v>Pacote</v>
      </c>
      <c r="F37" s="12">
        <v>110</v>
      </c>
      <c r="G37" s="6">
        <f>IFERROR(VLOOKUP(Tabela2[[#This Row],[Mercadoria]],cálculos!$I$3:$L$60,2,0),0)</f>
        <v>1.0580000000000001</v>
      </c>
      <c r="H37" s="11"/>
      <c r="I37" s="6">
        <f>Tabela2[[#This Row],[Quantidade]]*Tabela2[[#This Row],[Preço Unitário]]*(1-Tabela2[[#This Row],[Desconto]])</f>
        <v>116.38000000000001</v>
      </c>
    </row>
    <row r="38" spans="2:9" x14ac:dyDescent="0.25">
      <c r="B38" s="7">
        <v>45080</v>
      </c>
      <c r="C38" t="s">
        <v>79</v>
      </c>
      <c r="D38" t="s">
        <v>71</v>
      </c>
      <c r="E38" t="str">
        <f>IFERROR(VLOOKUP(Tabela2[[#This Row],[Mercadoria]],cálculos!$I$3:$L$60,4,0),"")</f>
        <v>Unidade</v>
      </c>
      <c r="F38" s="12">
        <v>50</v>
      </c>
      <c r="G38" s="6">
        <f>IFERROR(VLOOKUP(Tabela2[[#This Row],[Mercadoria]],cálculos!$I$3:$L$60,2,0),0)</f>
        <v>2.6299000000000001</v>
      </c>
      <c r="H38" s="11"/>
      <c r="I38" s="6">
        <f>Tabela2[[#This Row],[Quantidade]]*Tabela2[[#This Row],[Preço Unitário]]*(1-Tabela2[[#This Row],[Desconto]])</f>
        <v>131.495</v>
      </c>
    </row>
    <row r="39" spans="2:9" x14ac:dyDescent="0.25">
      <c r="B39" s="7">
        <v>45080</v>
      </c>
      <c r="C39" t="s">
        <v>78</v>
      </c>
      <c r="D39" t="s">
        <v>56</v>
      </c>
      <c r="E39" t="str">
        <f>IFERROR(VLOOKUP(Tabela2[[#This Row],[Mercadoria]],cálculos!$I$3:$L$60,4,0),"")</f>
        <v>Pacote</v>
      </c>
      <c r="F39" s="12">
        <v>300</v>
      </c>
      <c r="G39" s="6">
        <f>IFERROR(VLOOKUP(Tabela2[[#This Row],[Mercadoria]],cálculos!$I$3:$L$60,2,0),0)</f>
        <v>1.8506999999999998</v>
      </c>
      <c r="H39" s="11">
        <v>0.03</v>
      </c>
      <c r="I39" s="6">
        <f>Tabela2[[#This Row],[Quantidade]]*Tabela2[[#This Row],[Preço Unitário]]*(1-Tabela2[[#This Row],[Desconto]])</f>
        <v>538.55369999999994</v>
      </c>
    </row>
    <row r="40" spans="2:9" x14ac:dyDescent="0.25">
      <c r="B40" s="7">
        <v>45064</v>
      </c>
      <c r="C40" t="s">
        <v>78</v>
      </c>
      <c r="D40" t="s">
        <v>57</v>
      </c>
      <c r="E40" t="str">
        <f>IFERROR(VLOOKUP(Tabela2[[#This Row],[Mercadoria]],cálculos!$I$3:$L$60,4,0),"")</f>
        <v>Barra</v>
      </c>
      <c r="F40" s="12">
        <v>150</v>
      </c>
      <c r="G40" s="6">
        <f>IFERROR(VLOOKUP(Tabela2[[#This Row],[Mercadoria]],cálculos!$I$3:$L$60,2,0),0)</f>
        <v>4.5409000000000006</v>
      </c>
      <c r="H40" s="11"/>
      <c r="I40" s="6">
        <f>Tabela2[[#This Row],[Quantidade]]*Tabela2[[#This Row],[Preço Unitário]]*(1-Tabela2[[#This Row],[Desconto]])</f>
        <v>681.1350000000001</v>
      </c>
    </row>
    <row r="41" spans="2:9" x14ac:dyDescent="0.25">
      <c r="B41" s="7">
        <v>45064</v>
      </c>
      <c r="C41" t="s">
        <v>75</v>
      </c>
      <c r="D41" t="s">
        <v>33</v>
      </c>
      <c r="E41" t="str">
        <f>IFERROR(VLOOKUP(Tabela2[[#This Row],[Mercadoria]],cálculos!$I$3:$L$60,4,0),"")</f>
        <v>Kg</v>
      </c>
      <c r="F41" s="12">
        <v>150</v>
      </c>
      <c r="G41" s="6">
        <f>IFERROR(VLOOKUP(Tabela2[[#This Row],[Mercadoria]],cálculos!$I$3:$L$60,2,0),0)</f>
        <v>4.0659999999999998</v>
      </c>
      <c r="H41" s="11">
        <v>0.03</v>
      </c>
      <c r="I41" s="6">
        <f>Tabela2[[#This Row],[Quantidade]]*Tabela2[[#This Row],[Preço Unitário]]*(1-Tabela2[[#This Row],[Desconto]])</f>
        <v>591.60299999999995</v>
      </c>
    </row>
    <row r="42" spans="2:9" x14ac:dyDescent="0.25">
      <c r="B42" s="7">
        <v>45051</v>
      </c>
      <c r="C42" t="s">
        <v>76</v>
      </c>
      <c r="D42" t="s">
        <v>45</v>
      </c>
      <c r="E42" t="str">
        <f>IFERROR(VLOOKUP(Tabela2[[#This Row],[Mercadoria]],cálculos!$I$3:$L$60,4,0),"")</f>
        <v>Lata</v>
      </c>
      <c r="F42" s="12">
        <v>150</v>
      </c>
      <c r="G42" s="6">
        <f>IFERROR(VLOOKUP(Tabela2[[#This Row],[Mercadoria]],cálculos!$I$3:$L$60,2,0),0)</f>
        <v>2.1023999999999998</v>
      </c>
      <c r="H42" s="11"/>
      <c r="I42" s="6">
        <f>Tabela2[[#This Row],[Quantidade]]*Tabela2[[#This Row],[Preço Unitário]]*(1-Tabela2[[#This Row],[Desconto]])</f>
        <v>315.35999999999996</v>
      </c>
    </row>
    <row r="43" spans="2:9" x14ac:dyDescent="0.25">
      <c r="B43" s="7">
        <v>45051</v>
      </c>
      <c r="C43" t="s">
        <v>76</v>
      </c>
      <c r="D43" t="s">
        <v>41</v>
      </c>
      <c r="E43" t="str">
        <f>IFERROR(VLOOKUP(Tabela2[[#This Row],[Mercadoria]],cálculos!$I$3:$L$60,4,0),"")</f>
        <v>Litro</v>
      </c>
      <c r="F43" s="12">
        <v>100</v>
      </c>
      <c r="G43" s="6">
        <f>IFERROR(VLOOKUP(Tabela2[[#This Row],[Mercadoria]],cálculos!$I$3:$L$60,2,0),0)</f>
        <v>3.2084999999999999</v>
      </c>
      <c r="H43" s="11">
        <v>1.4999999999999999E-2</v>
      </c>
      <c r="I43" s="6">
        <f>Tabela2[[#This Row],[Quantidade]]*Tabela2[[#This Row],[Preço Unitário]]*(1-Tabela2[[#This Row],[Desconto]])</f>
        <v>316.03724999999997</v>
      </c>
    </row>
    <row r="44" spans="2:9" x14ac:dyDescent="0.25">
      <c r="B44" s="7">
        <v>45051</v>
      </c>
      <c r="C44" t="s">
        <v>77</v>
      </c>
      <c r="D44" t="s">
        <v>58</v>
      </c>
      <c r="E44" t="str">
        <f>IFERROR(VLOOKUP(Tabela2[[#This Row],[Mercadoria]],cálculos!$I$3:$L$60,4,0),"")</f>
        <v>Maço</v>
      </c>
      <c r="F44" s="12">
        <v>80</v>
      </c>
      <c r="G44" s="6">
        <f>IFERROR(VLOOKUP(Tabela2[[#This Row],[Mercadoria]],cálculos!$I$3:$L$60,2,0),0)</f>
        <v>6.3449999999999998</v>
      </c>
      <c r="H44" s="11"/>
      <c r="I44" s="6">
        <f>Tabela2[[#This Row],[Quantidade]]*Tabela2[[#This Row],[Preço Unitário]]*(1-Tabela2[[#This Row],[Desconto]])</f>
        <v>507.59999999999997</v>
      </c>
    </row>
    <row r="45" spans="2:9" x14ac:dyDescent="0.25">
      <c r="B45" s="7">
        <v>45026</v>
      </c>
      <c r="C45" t="s">
        <v>75</v>
      </c>
      <c r="D45" t="s">
        <v>33</v>
      </c>
      <c r="E45" t="str">
        <f>IFERROR(VLOOKUP(Tabela2[[#This Row],[Mercadoria]],cálculos!$I$3:$L$60,4,0),"")</f>
        <v>Kg</v>
      </c>
      <c r="F45" s="12">
        <v>100</v>
      </c>
      <c r="G45" s="6">
        <f>IFERROR(VLOOKUP(Tabela2[[#This Row],[Mercadoria]],cálculos!$I$3:$L$60,2,0),0)</f>
        <v>4.0659999999999998</v>
      </c>
      <c r="H45" s="11"/>
      <c r="I45" s="6">
        <f>Tabela2[[#This Row],[Quantidade]]*Tabela2[[#This Row],[Preço Unitário]]*(1-Tabela2[[#This Row],[Desconto]])</f>
        <v>406.59999999999997</v>
      </c>
    </row>
    <row r="46" spans="2:9" x14ac:dyDescent="0.25">
      <c r="B46" s="7">
        <v>45026</v>
      </c>
      <c r="C46" t="s">
        <v>75</v>
      </c>
      <c r="D46" t="s">
        <v>32</v>
      </c>
      <c r="E46" t="str">
        <f>IFERROR(VLOOKUP(Tabela2[[#This Row],[Mercadoria]],cálculos!$I$3:$L$60,4,0),"")</f>
        <v>Kg</v>
      </c>
      <c r="F46" s="12">
        <v>50</v>
      </c>
      <c r="G46" s="6">
        <f>IFERROR(VLOOKUP(Tabela2[[#This Row],[Mercadoria]],cálculos!$I$3:$L$60,2,0),0)</f>
        <v>2.3406000000000002</v>
      </c>
      <c r="H46" s="11">
        <v>0.03</v>
      </c>
      <c r="I46" s="6">
        <f>Tabela2[[#This Row],[Quantidade]]*Tabela2[[#This Row],[Preço Unitário]]*(1-Tabela2[[#This Row],[Desconto]])</f>
        <v>113.51910000000001</v>
      </c>
    </row>
    <row r="47" spans="2:9" x14ac:dyDescent="0.25">
      <c r="B47" s="7">
        <v>45010</v>
      </c>
      <c r="C47" t="s">
        <v>74</v>
      </c>
      <c r="D47" t="s">
        <v>47</v>
      </c>
      <c r="E47" t="str">
        <f>IFERROR(VLOOKUP(Tabela2[[#This Row],[Mercadoria]],cálculos!$I$3:$L$60,4,0),"")</f>
        <v>Unidade</v>
      </c>
      <c r="F47" s="12">
        <v>120</v>
      </c>
      <c r="G47" s="6">
        <f>IFERROR(VLOOKUP(Tabela2[[#This Row],[Mercadoria]],cálculos!$I$3:$L$60,2,0),0)</f>
        <v>2.3660000000000001</v>
      </c>
      <c r="H47" s="11"/>
      <c r="I47" s="6">
        <f>Tabela2[[#This Row],[Quantidade]]*Tabela2[[#This Row],[Preço Unitário]]*(1-Tabela2[[#This Row],[Desconto]])</f>
        <v>283.92</v>
      </c>
    </row>
    <row r="48" spans="2:9" x14ac:dyDescent="0.25">
      <c r="B48" s="7">
        <v>45010</v>
      </c>
      <c r="C48" t="s">
        <v>75</v>
      </c>
      <c r="D48" t="s">
        <v>33</v>
      </c>
      <c r="E48" t="str">
        <f>IFERROR(VLOOKUP(Tabela2[[#This Row],[Mercadoria]],cálculos!$I$3:$L$60,4,0),"")</f>
        <v>Kg</v>
      </c>
      <c r="F48" s="12">
        <v>150</v>
      </c>
      <c r="G48" s="6">
        <f>IFERROR(VLOOKUP(Tabela2[[#This Row],[Mercadoria]],cálculos!$I$3:$L$60,2,0),0)</f>
        <v>4.0659999999999998</v>
      </c>
      <c r="H48" s="11"/>
      <c r="I48" s="6">
        <f>Tabela2[[#This Row],[Quantidade]]*Tabela2[[#This Row],[Preço Unitário]]*(1-Tabela2[[#This Row],[Desconto]])</f>
        <v>609.9</v>
      </c>
    </row>
    <row r="50" spans="2:9" ht="18.75" x14ac:dyDescent="0.3">
      <c r="B50" s="13" t="s">
        <v>84</v>
      </c>
      <c r="C50" s="14"/>
      <c r="D50" s="14"/>
      <c r="E50" s="14"/>
      <c r="F50" s="14"/>
      <c r="G50" s="14"/>
      <c r="H50" s="14"/>
      <c r="I50" s="15">
        <f>SUM(Tabela2[[#All],[Valor Pago]])</f>
        <v>22849.632049999997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A976C96-60E5-490C-9C50-DE08BDBA2627}">
          <x14:formula1>
            <xm:f>cálculos!$I$3:$I$100</xm:f>
          </x14:formula1>
          <xm:sqref>D6:D48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5BC14-2F75-4EEB-BBA8-5F01B57A6947}">
  <sheetPr codeName="Planilha4"/>
  <dimension ref="B2:E12"/>
  <sheetViews>
    <sheetView workbookViewId="0"/>
  </sheetViews>
  <sheetFormatPr defaultRowHeight="15" x14ac:dyDescent="0.25"/>
  <cols>
    <col min="2" max="2" width="55.7109375" bestFit="1" customWidth="1"/>
    <col min="3" max="3" width="18.140625" customWidth="1"/>
    <col min="4" max="4" width="64.85546875" customWidth="1"/>
    <col min="5" max="5" width="20.42578125" customWidth="1"/>
  </cols>
  <sheetData>
    <row r="2" spans="2:5" s="4" customFormat="1" ht="27.95" customHeight="1" x14ac:dyDescent="0.25">
      <c r="B2" s="3" t="s">
        <v>1</v>
      </c>
    </row>
    <row r="4" spans="2:5" ht="16.5" customHeight="1" x14ac:dyDescent="0.25">
      <c r="B4" s="1" t="s">
        <v>87</v>
      </c>
      <c r="C4" s="1" t="s">
        <v>13</v>
      </c>
      <c r="D4" s="1" t="s">
        <v>88</v>
      </c>
      <c r="E4" s="1" t="s">
        <v>89</v>
      </c>
    </row>
    <row r="5" spans="2:5" ht="40.5" customHeight="1" x14ac:dyDescent="0.25">
      <c r="B5" s="20" t="s">
        <v>86</v>
      </c>
      <c r="C5" s="18"/>
      <c r="D5" s="19" t="s">
        <v>90</v>
      </c>
      <c r="E5" s="6">
        <v>400000</v>
      </c>
    </row>
    <row r="6" spans="2:5" ht="40.5" customHeight="1" x14ac:dyDescent="0.25">
      <c r="B6" s="20" t="s">
        <v>8</v>
      </c>
      <c r="C6" s="18"/>
      <c r="D6" s="19"/>
      <c r="E6" s="6"/>
    </row>
    <row r="7" spans="2:5" ht="40.5" customHeight="1" x14ac:dyDescent="0.25">
      <c r="B7" s="20" t="s">
        <v>164</v>
      </c>
      <c r="C7" s="18"/>
      <c r="D7" s="19"/>
      <c r="E7" s="6"/>
    </row>
    <row r="8" spans="2:5" ht="40.5" customHeight="1" x14ac:dyDescent="0.25">
      <c r="B8" s="20" t="s">
        <v>165</v>
      </c>
      <c r="C8" s="18"/>
      <c r="D8" s="19"/>
      <c r="E8" s="6"/>
    </row>
    <row r="9" spans="2:5" ht="40.5" customHeight="1" x14ac:dyDescent="0.25">
      <c r="B9" s="20" t="s">
        <v>9</v>
      </c>
      <c r="C9" s="18"/>
      <c r="D9" s="19"/>
      <c r="E9" s="6"/>
    </row>
    <row r="10" spans="2:5" x14ac:dyDescent="0.25">
      <c r="E10" s="6"/>
    </row>
    <row r="11" spans="2:5" x14ac:dyDescent="0.25">
      <c r="E11" s="6"/>
    </row>
    <row r="12" spans="2:5" ht="18.75" x14ac:dyDescent="0.3">
      <c r="B12" s="13" t="s">
        <v>91</v>
      </c>
      <c r="C12" s="14"/>
      <c r="D12" s="14"/>
      <c r="E12" s="15">
        <f>SUM(Tabela4[[#All],[Valor]])</f>
        <v>400000</v>
      </c>
    </row>
  </sheetData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DA6AD-5971-4564-B562-06E73643A690}">
  <sheetPr codeName="Planilha5"/>
  <dimension ref="B2:H48"/>
  <sheetViews>
    <sheetView topLeftCell="A30" workbookViewId="0">
      <selection activeCell="E30" sqref="E30"/>
    </sheetView>
  </sheetViews>
  <sheetFormatPr defaultRowHeight="15" x14ac:dyDescent="0.25"/>
  <cols>
    <col min="2" max="2" width="21.7109375" customWidth="1"/>
    <col min="3" max="3" width="23.7109375" customWidth="1"/>
    <col min="4" max="4" width="19.42578125" customWidth="1"/>
    <col min="5" max="5" width="23.85546875" bestFit="1" customWidth="1"/>
    <col min="6" max="6" width="21.7109375" bestFit="1" customWidth="1"/>
    <col min="7" max="7" width="18.5703125" customWidth="1"/>
    <col min="8" max="8" width="10.85546875" customWidth="1"/>
  </cols>
  <sheetData>
    <row r="2" spans="2:8" s="4" customFormat="1" ht="27.95" customHeight="1" x14ac:dyDescent="0.25">
      <c r="B2" s="3" t="s">
        <v>92</v>
      </c>
    </row>
    <row r="4" spans="2:8" x14ac:dyDescent="0.25">
      <c r="B4" s="1" t="s">
        <v>93</v>
      </c>
      <c r="C4" s="1" t="s">
        <v>94</v>
      </c>
      <c r="D4" s="1" t="s">
        <v>95</v>
      </c>
      <c r="E4" s="1" t="s">
        <v>99</v>
      </c>
      <c r="F4" s="1" t="s">
        <v>96</v>
      </c>
      <c r="G4" s="1" t="s">
        <v>97</v>
      </c>
      <c r="H4" s="1" t="s">
        <v>98</v>
      </c>
    </row>
    <row r="5" spans="2:8" x14ac:dyDescent="0.25">
      <c r="B5" t="s">
        <v>130</v>
      </c>
      <c r="C5" s="21">
        <f>IFERROR(INDEX(Tabela2[],MATCH(Tabela5[[#This Row],[Produto]],Tabela2[Mercadoria],0),1),"-")</f>
        <v>45122</v>
      </c>
      <c r="D5" s="12">
        <v>15</v>
      </c>
      <c r="E5" s="12">
        <f>SUMIF(Tabela2[Mercadoria],Tabela5[[#This Row],[Produto]],Tabela2[Quantidade])</f>
        <v>200</v>
      </c>
      <c r="F5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34</v>
      </c>
      <c r="G5">
        <f>(Tabela5[[#This Row],[Quantidade inicial]]+Tabela5[[#This Row],[Quantidade Comprada]]-Tabela5[[#This Row],[Quantidade Vendida]])</f>
        <v>181</v>
      </c>
      <c r="H5" s="5" t="str">
        <f t="shared" ref="H5:H48" si="0">IF(G5&lt;50,IF(G5&lt;20,"Comprar","Atenção"),"OK")</f>
        <v>OK</v>
      </c>
    </row>
    <row r="6" spans="2:8" x14ac:dyDescent="0.25">
      <c r="B6" t="s">
        <v>35</v>
      </c>
      <c r="C6" s="21">
        <f>IFERROR(INDEX(Tabela2[],MATCH(Tabela5[[#This Row],[Produto]],Tabela2[Mercadoria],0),1),"-")</f>
        <v>45119</v>
      </c>
      <c r="D6" s="12">
        <v>10</v>
      </c>
      <c r="E6" s="12">
        <f>SUMIF(Tabela2[Mercadoria],Tabela5[[#This Row],[Produto]],Tabela2[Quantidade])</f>
        <v>100</v>
      </c>
      <c r="F6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59</v>
      </c>
      <c r="G6">
        <f>(Tabela5[[#This Row],[Quantidade inicial]]+Tabela5[[#This Row],[Quantidade Comprada]]-Tabela5[[#This Row],[Quantidade Vendida]])</f>
        <v>51</v>
      </c>
      <c r="H6" s="5" t="str">
        <f t="shared" si="0"/>
        <v>OK</v>
      </c>
    </row>
    <row r="7" spans="2:8" x14ac:dyDescent="0.25">
      <c r="B7" t="s">
        <v>121</v>
      </c>
      <c r="C7" s="21">
        <f>IFERROR(INDEX(Tabela2[],MATCH(Tabela5[[#This Row],[Produto]],Tabela2[Mercadoria],0),1),"-")</f>
        <v>45122</v>
      </c>
      <c r="D7" s="12">
        <v>0</v>
      </c>
      <c r="E7" s="12">
        <f>SUMIF(Tabela2[Mercadoria],Tabela5[[#This Row],[Produto]],Tabela2[Quantidade])</f>
        <v>300</v>
      </c>
      <c r="F7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38</v>
      </c>
      <c r="G7">
        <f>(Tabela5[[#This Row],[Quantidade inicial]]+Tabela5[[#This Row],[Quantidade Comprada]]-Tabela5[[#This Row],[Quantidade Vendida]])</f>
        <v>262</v>
      </c>
      <c r="H7" s="5" t="str">
        <f t="shared" si="0"/>
        <v>OK</v>
      </c>
    </row>
    <row r="8" spans="2:8" x14ac:dyDescent="0.25">
      <c r="B8" t="s">
        <v>44</v>
      </c>
      <c r="C8" s="21">
        <f>IFERROR(INDEX(Tabela2[],MATCH(Tabela5[[#This Row],[Produto]],Tabela2[Mercadoria],0),1),"-")</f>
        <v>45080</v>
      </c>
      <c r="D8" s="12">
        <v>0</v>
      </c>
      <c r="E8" s="12">
        <f>SUMIF(Tabela2[Mercadoria],Tabela5[[#This Row],[Produto]],Tabela2[Quantidade])</f>
        <v>110</v>
      </c>
      <c r="F8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16</v>
      </c>
      <c r="G8">
        <f>(Tabela5[[#This Row],[Quantidade inicial]]+Tabela5[[#This Row],[Quantidade Comprada]]-Tabela5[[#This Row],[Quantidade Vendida]])</f>
        <v>94</v>
      </c>
      <c r="H8" s="5" t="str">
        <f t="shared" si="0"/>
        <v>OK</v>
      </c>
    </row>
    <row r="9" spans="2:8" x14ac:dyDescent="0.25">
      <c r="B9" t="s">
        <v>32</v>
      </c>
      <c r="C9" s="21">
        <f>IFERROR(INDEX(Tabela2[],MATCH(Tabela5[[#This Row],[Produto]],Tabela2[Mercadoria],0),1),"-")</f>
        <v>45119</v>
      </c>
      <c r="D9" s="12">
        <v>150</v>
      </c>
      <c r="E9" s="12">
        <f>SUMIF(Tabela2[Mercadoria],Tabela5[[#This Row],[Produto]],Tabela2[Quantidade])</f>
        <v>250</v>
      </c>
      <c r="F9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449</v>
      </c>
      <c r="G9">
        <f>(Tabela5[[#This Row],[Quantidade inicial]]+Tabela5[[#This Row],[Quantidade Comprada]]-Tabela5[[#This Row],[Quantidade Vendida]])</f>
        <v>-49</v>
      </c>
      <c r="H9" s="5" t="str">
        <f t="shared" si="0"/>
        <v>Comprar</v>
      </c>
    </row>
    <row r="10" spans="2:8" x14ac:dyDescent="0.25">
      <c r="B10" t="s">
        <v>56</v>
      </c>
      <c r="C10" s="21">
        <f>IFERROR(INDEX(Tabela2[],MATCH(Tabela5[[#This Row],[Produto]],Tabela2[Mercadoria],0),1),"-")</f>
        <v>45080</v>
      </c>
      <c r="D10" s="12">
        <v>15</v>
      </c>
      <c r="E10" s="12">
        <f>SUMIF(Tabela2[Mercadoria],Tabela5[[#This Row],[Produto]],Tabela2[Quantidade])</f>
        <v>300</v>
      </c>
      <c r="F10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36</v>
      </c>
      <c r="G10">
        <f>(Tabela5[[#This Row],[Quantidade inicial]]+Tabela5[[#This Row],[Quantidade Comprada]]-Tabela5[[#This Row],[Quantidade Vendida]])</f>
        <v>279</v>
      </c>
      <c r="H10" s="5" t="str">
        <f t="shared" si="0"/>
        <v>OK</v>
      </c>
    </row>
    <row r="11" spans="2:8" x14ac:dyDescent="0.25">
      <c r="B11" t="s">
        <v>122</v>
      </c>
      <c r="C11" s="21">
        <f>IFERROR(INDEX(Tabela2[],MATCH(Tabela5[[#This Row],[Produto]],Tabela2[Mercadoria],0),1),"-")</f>
        <v>45122</v>
      </c>
      <c r="D11" s="12">
        <v>25</v>
      </c>
      <c r="E11" s="12">
        <f>SUMIF(Tabela2[Mercadoria],Tabela5[[#This Row],[Produto]],Tabela2[Quantidade])</f>
        <v>200</v>
      </c>
      <c r="F11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18</v>
      </c>
      <c r="G11">
        <f>(Tabela5[[#This Row],[Quantidade inicial]]+Tabela5[[#This Row],[Quantidade Comprada]]-Tabela5[[#This Row],[Quantidade Vendida]])</f>
        <v>207</v>
      </c>
      <c r="H11" s="5" t="str">
        <f t="shared" si="0"/>
        <v>OK</v>
      </c>
    </row>
    <row r="12" spans="2:8" x14ac:dyDescent="0.25">
      <c r="B12" t="s">
        <v>59</v>
      </c>
      <c r="C12" s="21" t="str">
        <f>IFERROR(INDEX(Tabela2[],MATCH(Tabela5[[#This Row],[Produto]],Tabela2[Mercadoria],0),1),"-")</f>
        <v>-</v>
      </c>
      <c r="D12" s="12">
        <v>0</v>
      </c>
      <c r="E12" s="12">
        <f>SUMIF(Tabela2[Mercadoria],Tabela5[[#This Row],[Produto]],Tabela2[Quantidade])</f>
        <v>0</v>
      </c>
      <c r="F12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15</v>
      </c>
      <c r="G12">
        <f>(Tabela5[[#This Row],[Quantidade inicial]]+Tabela5[[#This Row],[Quantidade Comprada]]-Tabela5[[#This Row],[Quantidade Vendida]])</f>
        <v>-15</v>
      </c>
      <c r="H12" s="5" t="str">
        <f t="shared" si="0"/>
        <v>Comprar</v>
      </c>
    </row>
    <row r="13" spans="2:8" x14ac:dyDescent="0.25">
      <c r="B13" t="s">
        <v>119</v>
      </c>
      <c r="C13" s="21">
        <f>IFERROR(INDEX(Tabela2[],MATCH(Tabela5[[#This Row],[Produto]],Tabela2[Mercadoria],0),1),"-")</f>
        <v>45122</v>
      </c>
      <c r="D13" s="12">
        <v>0</v>
      </c>
      <c r="E13" s="12">
        <f>SUMIF(Tabela2[Mercadoria],Tabela5[[#This Row],[Produto]],Tabela2[Quantidade])</f>
        <v>150</v>
      </c>
      <c r="F13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31.3</v>
      </c>
      <c r="G13">
        <f>(Tabela5[[#This Row],[Quantidade inicial]]+Tabela5[[#This Row],[Quantidade Comprada]]-Tabela5[[#This Row],[Quantidade Vendida]])</f>
        <v>118.7</v>
      </c>
      <c r="H13" s="5" t="str">
        <f t="shared" si="0"/>
        <v>OK</v>
      </c>
    </row>
    <row r="14" spans="2:8" x14ac:dyDescent="0.25">
      <c r="B14" t="s">
        <v>118</v>
      </c>
      <c r="C14" s="21">
        <f>IFERROR(INDEX(Tabela2[],MATCH(Tabela5[[#This Row],[Produto]],Tabela2[Mercadoria],0),1),"-")</f>
        <v>45122</v>
      </c>
      <c r="D14" s="12">
        <v>30</v>
      </c>
      <c r="E14" s="12">
        <f>SUMIF(Tabela2[Mercadoria],Tabela5[[#This Row],[Produto]],Tabela2[Quantidade])</f>
        <v>200</v>
      </c>
      <c r="F14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29</v>
      </c>
      <c r="G14">
        <f>(Tabela5[[#This Row],[Quantidade inicial]]+Tabela5[[#This Row],[Quantidade Comprada]]-Tabela5[[#This Row],[Quantidade Vendida]])</f>
        <v>201</v>
      </c>
      <c r="H14" s="5" t="str">
        <f t="shared" si="0"/>
        <v>OK</v>
      </c>
    </row>
    <row r="15" spans="2:8" x14ac:dyDescent="0.25">
      <c r="B15" t="s">
        <v>48</v>
      </c>
      <c r="C15" s="21" t="str">
        <f>IFERROR(INDEX(Tabela2[],MATCH(Tabela5[[#This Row],[Produto]],Tabela2[Mercadoria],0),1),"-")</f>
        <v>-</v>
      </c>
      <c r="D15" s="12">
        <v>0</v>
      </c>
      <c r="E15" s="12">
        <f>SUMIF(Tabela2[Mercadoria],Tabela5[[#This Row],[Produto]],Tabela2[Quantidade])</f>
        <v>0</v>
      </c>
      <c r="F15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19</v>
      </c>
      <c r="G15">
        <f>(Tabela5[[#This Row],[Quantidade inicial]]+Tabela5[[#This Row],[Quantidade Comprada]]-Tabela5[[#This Row],[Quantidade Vendida]])</f>
        <v>-19</v>
      </c>
      <c r="H15" s="5" t="str">
        <f t="shared" si="0"/>
        <v>Comprar</v>
      </c>
    </row>
    <row r="16" spans="2:8" x14ac:dyDescent="0.25">
      <c r="B16" t="s">
        <v>36</v>
      </c>
      <c r="C16" s="21">
        <f>IFERROR(INDEX(Tabela2[],MATCH(Tabela5[[#This Row],[Produto]],Tabela2[Mercadoria],0),1),"-")</f>
        <v>45119</v>
      </c>
      <c r="D16" s="12">
        <v>0</v>
      </c>
      <c r="E16" s="12">
        <f>SUMIF(Tabela2[Mercadoria],Tabela5[[#This Row],[Produto]],Tabela2[Quantidade])</f>
        <v>300</v>
      </c>
      <c r="F16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190</v>
      </c>
      <c r="G16">
        <f>(Tabela5[[#This Row],[Quantidade inicial]]+Tabela5[[#This Row],[Quantidade Comprada]]-Tabela5[[#This Row],[Quantidade Vendida]])</f>
        <v>110</v>
      </c>
      <c r="H16" s="5" t="str">
        <f t="shared" si="0"/>
        <v>OK</v>
      </c>
    </row>
    <row r="17" spans="2:8" x14ac:dyDescent="0.25">
      <c r="B17" t="s">
        <v>42</v>
      </c>
      <c r="C17" s="21">
        <f>IFERROR(INDEX(Tabela2[],MATCH(Tabela5[[#This Row],[Produto]],Tabela2[Mercadoria],0),1),"-")</f>
        <v>45119</v>
      </c>
      <c r="D17" s="12">
        <v>0</v>
      </c>
      <c r="E17" s="12">
        <f>SUMIF(Tabela2[Mercadoria],Tabela5[[#This Row],[Produto]],Tabela2[Quantidade])</f>
        <v>100</v>
      </c>
      <c r="F17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68.5</v>
      </c>
      <c r="G17">
        <f>(Tabela5[[#This Row],[Quantidade inicial]]+Tabela5[[#This Row],[Quantidade Comprada]]-Tabela5[[#This Row],[Quantidade Vendida]])</f>
        <v>31.5</v>
      </c>
      <c r="H17" s="5" t="str">
        <f t="shared" si="0"/>
        <v>Atenção</v>
      </c>
    </row>
    <row r="18" spans="2:8" x14ac:dyDescent="0.25">
      <c r="B18" t="s">
        <v>45</v>
      </c>
      <c r="C18" s="21">
        <f>IFERROR(INDEX(Tabela2[],MATCH(Tabela5[[#This Row],[Produto]],Tabela2[Mercadoria],0),1),"-")</f>
        <v>45119</v>
      </c>
      <c r="D18" s="12">
        <v>0</v>
      </c>
      <c r="E18" s="12">
        <f>SUMIF(Tabela2[Mercadoria],Tabela5[[#This Row],[Produto]],Tabela2[Quantidade])</f>
        <v>500</v>
      </c>
      <c r="F18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1268</v>
      </c>
      <c r="G18">
        <f>(Tabela5[[#This Row],[Quantidade inicial]]+Tabela5[[#This Row],[Quantidade Comprada]]-Tabela5[[#This Row],[Quantidade Vendida]])</f>
        <v>-768</v>
      </c>
      <c r="H18" s="5" t="str">
        <f t="shared" si="0"/>
        <v>Comprar</v>
      </c>
    </row>
    <row r="19" spans="2:8" x14ac:dyDescent="0.25">
      <c r="B19" t="s">
        <v>57</v>
      </c>
      <c r="C19" s="21">
        <f>IFERROR(INDEX(Tabela2[],MATCH(Tabela5[[#This Row],[Produto]],Tabela2[Mercadoria],0),1),"-")</f>
        <v>45064</v>
      </c>
      <c r="D19" s="12">
        <v>39</v>
      </c>
      <c r="E19" s="12">
        <f>SUMIF(Tabela2[Mercadoria],Tabela5[[#This Row],[Produto]],Tabela2[Quantidade])</f>
        <v>150</v>
      </c>
      <c r="F19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196</v>
      </c>
      <c r="G19">
        <f>(Tabela5[[#This Row],[Quantidade inicial]]+Tabela5[[#This Row],[Quantidade Comprada]]-Tabela5[[#This Row],[Quantidade Vendida]])</f>
        <v>-7</v>
      </c>
      <c r="H19" s="5" t="str">
        <f t="shared" si="0"/>
        <v>Comprar</v>
      </c>
    </row>
    <row r="20" spans="2:8" x14ac:dyDescent="0.25">
      <c r="B20" t="s">
        <v>58</v>
      </c>
      <c r="C20" s="21">
        <f>IFERROR(INDEX(Tabela2[],MATCH(Tabela5[[#This Row],[Produto]],Tabela2[Mercadoria],0),1),"-")</f>
        <v>45051</v>
      </c>
      <c r="D20" s="12">
        <v>0</v>
      </c>
      <c r="E20" s="12">
        <f>SUMIF(Tabela2[Mercadoria],Tabela5[[#This Row],[Produto]],Tabela2[Quantidade])</f>
        <v>80</v>
      </c>
      <c r="F20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114</v>
      </c>
      <c r="G20">
        <f>(Tabela5[[#This Row],[Quantidade inicial]]+Tabela5[[#This Row],[Quantidade Comprada]]-Tabela5[[#This Row],[Quantidade Vendida]])</f>
        <v>-34</v>
      </c>
      <c r="H20" s="5" t="str">
        <f t="shared" si="0"/>
        <v>Comprar</v>
      </c>
    </row>
    <row r="21" spans="2:8" x14ac:dyDescent="0.25">
      <c r="B21" t="s">
        <v>47</v>
      </c>
      <c r="C21" s="21">
        <f>IFERROR(INDEX(Tabela2[],MATCH(Tabela5[[#This Row],[Produto]],Tabela2[Mercadoria],0),1),"-")</f>
        <v>45122</v>
      </c>
      <c r="D21" s="12">
        <v>0</v>
      </c>
      <c r="E21" s="12">
        <f>SUMIF(Tabela2[Mercadoria],Tabela5[[#This Row],[Produto]],Tabela2[Quantidade])</f>
        <v>420</v>
      </c>
      <c r="F21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34</v>
      </c>
      <c r="G21">
        <f>(Tabela5[[#This Row],[Quantidade inicial]]+Tabela5[[#This Row],[Quantidade Comprada]]-Tabela5[[#This Row],[Quantidade Vendida]])</f>
        <v>386</v>
      </c>
      <c r="H21" s="5" t="str">
        <f t="shared" si="0"/>
        <v>OK</v>
      </c>
    </row>
    <row r="22" spans="2:8" x14ac:dyDescent="0.25">
      <c r="B22" t="s">
        <v>137</v>
      </c>
      <c r="C22" s="21">
        <f>IFERROR(INDEX(Tabela2[],MATCH(Tabela5[[#This Row],[Produto]],Tabela2[Mercadoria],0),1),"-")</f>
        <v>45122</v>
      </c>
      <c r="D22" s="12">
        <v>10</v>
      </c>
      <c r="E22" s="12">
        <f>SUMIF(Tabela2[Mercadoria],Tabela5[[#This Row],[Produto]],Tabela2[Quantidade])</f>
        <v>50</v>
      </c>
      <c r="F22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6.8</v>
      </c>
      <c r="G22">
        <f>(Tabela5[[#This Row],[Quantidade inicial]]+Tabela5[[#This Row],[Quantidade Comprada]]-Tabela5[[#This Row],[Quantidade Vendida]])</f>
        <v>53.2</v>
      </c>
      <c r="H22" s="5" t="str">
        <f t="shared" si="0"/>
        <v>OK</v>
      </c>
    </row>
    <row r="23" spans="2:8" x14ac:dyDescent="0.25">
      <c r="B23" t="s">
        <v>125</v>
      </c>
      <c r="C23" s="21">
        <f>IFERROR(INDEX(Tabela2[],MATCH(Tabela5[[#This Row],[Produto]],Tabela2[Mercadoria],0),1),"-")</f>
        <v>45123</v>
      </c>
      <c r="D23" s="12">
        <v>100</v>
      </c>
      <c r="E23" s="12">
        <f>SUMIF(Tabela2[Mercadoria],Tabela5[[#This Row],[Produto]],Tabela2[Quantidade])</f>
        <v>80</v>
      </c>
      <c r="F23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7</v>
      </c>
      <c r="G23">
        <f>(Tabela5[[#This Row],[Quantidade inicial]]+Tabela5[[#This Row],[Quantidade Comprada]]-Tabela5[[#This Row],[Quantidade Vendida]])</f>
        <v>173</v>
      </c>
      <c r="H23" s="5" t="str">
        <f t="shared" si="0"/>
        <v>OK</v>
      </c>
    </row>
    <row r="24" spans="2:8" x14ac:dyDescent="0.25">
      <c r="B24" t="s">
        <v>33</v>
      </c>
      <c r="C24" s="21">
        <f>IFERROR(INDEX(Tabela2[],MATCH(Tabela5[[#This Row],[Produto]],Tabela2[Mercadoria],0),1),"-")</f>
        <v>45064</v>
      </c>
      <c r="D24" s="12">
        <v>0</v>
      </c>
      <c r="E24" s="12">
        <f>SUMIF(Tabela2[Mercadoria],Tabela5[[#This Row],[Produto]],Tabela2[Quantidade])</f>
        <v>400</v>
      </c>
      <c r="F24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190</v>
      </c>
      <c r="G24">
        <f>(Tabela5[[#This Row],[Quantidade inicial]]+Tabela5[[#This Row],[Quantidade Comprada]]-Tabela5[[#This Row],[Quantidade Vendida]])</f>
        <v>210</v>
      </c>
      <c r="H24" s="5" t="str">
        <f t="shared" si="0"/>
        <v>OK</v>
      </c>
    </row>
    <row r="25" spans="2:8" x14ac:dyDescent="0.25">
      <c r="B25" t="s">
        <v>37</v>
      </c>
      <c r="C25" s="21">
        <f>IFERROR(INDEX(Tabela2[],MATCH(Tabela5[[#This Row],[Produto]],Tabela2[Mercadoria],0),1),"-")</f>
        <v>45084</v>
      </c>
      <c r="D25" s="12">
        <v>30</v>
      </c>
      <c r="E25" s="12">
        <f>SUMIF(Tabela2[Mercadoria],Tabela5[[#This Row],[Produto]],Tabela2[Quantidade])</f>
        <v>100</v>
      </c>
      <c r="F25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172</v>
      </c>
      <c r="G25">
        <f>(Tabela5[[#This Row],[Quantidade inicial]]+Tabela5[[#This Row],[Quantidade Comprada]]-Tabela5[[#This Row],[Quantidade Vendida]])</f>
        <v>-42</v>
      </c>
      <c r="H25" s="5" t="str">
        <f t="shared" si="0"/>
        <v>Comprar</v>
      </c>
    </row>
    <row r="26" spans="2:8" x14ac:dyDescent="0.25">
      <c r="B26" t="s">
        <v>127</v>
      </c>
      <c r="C26" s="21" t="str">
        <f>IFERROR(INDEX(Tabela2[],MATCH(Tabela5[[#This Row],[Produto]],Tabela2[Mercadoria],0),1),"-")</f>
        <v>-</v>
      </c>
      <c r="D26" s="12">
        <v>50</v>
      </c>
      <c r="E26" s="12">
        <f>SUMIF(Tabela2[Mercadoria],Tabela5[[#This Row],[Produto]],Tabela2[Quantidade])</f>
        <v>0</v>
      </c>
      <c r="F26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14.5</v>
      </c>
      <c r="G26">
        <f>(Tabela5[[#This Row],[Quantidade inicial]]+Tabela5[[#This Row],[Quantidade Comprada]]-Tabela5[[#This Row],[Quantidade Vendida]])</f>
        <v>35.5</v>
      </c>
      <c r="H26" s="5" t="str">
        <f t="shared" si="0"/>
        <v>Atenção</v>
      </c>
    </row>
    <row r="27" spans="2:8" x14ac:dyDescent="0.25">
      <c r="B27" t="s">
        <v>133</v>
      </c>
      <c r="C27" s="21">
        <f>IFERROR(INDEX(Tabela2[],MATCH(Tabela5[[#This Row],[Produto]],Tabela2[Mercadoria],0),1),"-")</f>
        <v>45123</v>
      </c>
      <c r="D27" s="12">
        <v>0</v>
      </c>
      <c r="E27" s="12">
        <f>SUMIF(Tabela2[Mercadoria],Tabela5[[#This Row],[Produto]],Tabela2[Quantidade])</f>
        <v>80</v>
      </c>
      <c r="F27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4.3</v>
      </c>
      <c r="G27">
        <f>(Tabela5[[#This Row],[Quantidade inicial]]+Tabela5[[#This Row],[Quantidade Comprada]]-Tabela5[[#This Row],[Quantidade Vendida]])</f>
        <v>75.7</v>
      </c>
      <c r="H27" s="5" t="str">
        <f t="shared" si="0"/>
        <v>OK</v>
      </c>
    </row>
    <row r="28" spans="2:8" x14ac:dyDescent="0.25">
      <c r="B28" t="s">
        <v>120</v>
      </c>
      <c r="C28" s="21">
        <f>IFERROR(INDEX(Tabela2[],MATCH(Tabela5[[#This Row],[Produto]],Tabela2[Mercadoria],0),1),"-")</f>
        <v>45123</v>
      </c>
      <c r="D28" s="12">
        <v>20</v>
      </c>
      <c r="E28" s="12">
        <f>SUMIF(Tabela2[Mercadoria],Tabela5[[#This Row],[Produto]],Tabela2[Quantidade])</f>
        <v>100</v>
      </c>
      <c r="F28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30.7</v>
      </c>
      <c r="G28">
        <f>(Tabela5[[#This Row],[Quantidade inicial]]+Tabela5[[#This Row],[Quantidade Comprada]]-Tabela5[[#This Row],[Quantidade Vendida]])</f>
        <v>89.3</v>
      </c>
      <c r="H28" s="5" t="str">
        <f t="shared" si="0"/>
        <v>OK</v>
      </c>
    </row>
    <row r="29" spans="2:8" x14ac:dyDescent="0.25">
      <c r="B29" t="s">
        <v>66</v>
      </c>
      <c r="C29" s="21" t="str">
        <f>IFERROR(INDEX(Tabela2[],MATCH(Tabela5[[#This Row],[Produto]],Tabela2[Mercadoria],0),1),"-")</f>
        <v>-</v>
      </c>
      <c r="D29" s="12">
        <v>0</v>
      </c>
      <c r="E29" s="12">
        <v>300</v>
      </c>
      <c r="F29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482</v>
      </c>
      <c r="G29">
        <f>(Tabela5[[#This Row],[Quantidade inicial]]+Tabela5[[#This Row],[Quantidade Comprada]]-Tabela5[[#This Row],[Quantidade Vendida]])</f>
        <v>-182</v>
      </c>
      <c r="H29" s="5" t="str">
        <f t="shared" si="0"/>
        <v>Comprar</v>
      </c>
    </row>
    <row r="30" spans="2:8" x14ac:dyDescent="0.25">
      <c r="B30" t="s">
        <v>134</v>
      </c>
      <c r="C30" s="21">
        <f>IFERROR(INDEX(Tabela2[],MATCH(Tabela5[[#This Row],[Produto]],Tabela2[Mercadoria],0),1),"-")</f>
        <v>45123</v>
      </c>
      <c r="D30" s="12">
        <v>0</v>
      </c>
      <c r="E30" s="12">
        <f>SUMIF(Tabela2[Mercadoria],Tabela5[[#This Row],[Produto]],Tabela2[Quantidade])</f>
        <v>50</v>
      </c>
      <c r="F30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9.8000000000000007</v>
      </c>
      <c r="G30">
        <f>(Tabela5[[#This Row],[Quantidade inicial]]+Tabela5[[#This Row],[Quantidade Comprada]]-Tabela5[[#This Row],[Quantidade Vendida]])</f>
        <v>40.200000000000003</v>
      </c>
      <c r="H30" s="5" t="str">
        <f t="shared" si="0"/>
        <v>Atenção</v>
      </c>
    </row>
    <row r="31" spans="2:8" x14ac:dyDescent="0.25">
      <c r="B31" t="s">
        <v>123</v>
      </c>
      <c r="C31" s="21">
        <f>IFERROR(INDEX(Tabela2[],MATCH(Tabela5[[#This Row],[Produto]],Tabela2[Mercadoria],0),1),"-")</f>
        <v>45123</v>
      </c>
      <c r="D31" s="12">
        <v>0</v>
      </c>
      <c r="E31" s="12">
        <f>SUMIF(Tabela2[Mercadoria],Tabela5[[#This Row],[Produto]],Tabela2[Quantidade])</f>
        <v>10</v>
      </c>
      <c r="F31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23.8</v>
      </c>
      <c r="G31">
        <f>(Tabela5[[#This Row],[Quantidade inicial]]+Tabela5[[#This Row],[Quantidade Comprada]]-Tabela5[[#This Row],[Quantidade Vendida]])</f>
        <v>-13.8</v>
      </c>
      <c r="H31" s="5" t="str">
        <f t="shared" si="0"/>
        <v>Comprar</v>
      </c>
    </row>
    <row r="32" spans="2:8" x14ac:dyDescent="0.25">
      <c r="B32" t="s">
        <v>129</v>
      </c>
      <c r="C32" s="21">
        <f>IFERROR(INDEX(Tabela2[],MATCH(Tabela5[[#This Row],[Produto]],Tabela2[Mercadoria],0),1),"-")</f>
        <v>45123</v>
      </c>
      <c r="D32" s="12">
        <v>39</v>
      </c>
      <c r="E32" s="12">
        <f>SUMIF(Tabela2[Mercadoria],Tabela5[[#This Row],[Produto]],Tabela2[Quantidade])</f>
        <v>40</v>
      </c>
      <c r="F32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14</v>
      </c>
      <c r="G32">
        <f>(Tabela5[[#This Row],[Quantidade inicial]]+Tabela5[[#This Row],[Quantidade Comprada]]-Tabela5[[#This Row],[Quantidade Vendida]])</f>
        <v>65</v>
      </c>
      <c r="H32" s="5" t="str">
        <f t="shared" si="0"/>
        <v>OK</v>
      </c>
    </row>
    <row r="33" spans="2:8" x14ac:dyDescent="0.25">
      <c r="B33" t="s">
        <v>128</v>
      </c>
      <c r="C33" s="21">
        <f>IFERROR(INDEX(Tabela2[],MATCH(Tabela5[[#This Row],[Produto]],Tabela2[Mercadoria],0),1),"-")</f>
        <v>45123</v>
      </c>
      <c r="D33" s="12">
        <v>0</v>
      </c>
      <c r="E33" s="12">
        <f>SUMIF(Tabela2[Mercadoria],Tabela5[[#This Row],[Produto]],Tabela2[Quantidade])</f>
        <v>50</v>
      </c>
      <c r="F33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21.5</v>
      </c>
      <c r="G33">
        <f>(Tabela5[[#This Row],[Quantidade inicial]]+Tabela5[[#This Row],[Quantidade Comprada]]-Tabela5[[#This Row],[Quantidade Vendida]])</f>
        <v>28.5</v>
      </c>
      <c r="H33" s="5" t="str">
        <f t="shared" si="0"/>
        <v>Atenção</v>
      </c>
    </row>
    <row r="34" spans="2:8" x14ac:dyDescent="0.25">
      <c r="B34" t="s">
        <v>124</v>
      </c>
      <c r="C34" s="21">
        <f>IFERROR(INDEX(Tabela2[],MATCH(Tabela5[[#This Row],[Produto]],Tabela2[Mercadoria],0),1),"-")</f>
        <v>45123</v>
      </c>
      <c r="D34" s="12">
        <v>0</v>
      </c>
      <c r="E34" s="12">
        <f>SUMIF(Tabela2[Mercadoria],Tabela5[[#This Row],[Produto]],Tabela2[Quantidade])</f>
        <v>20</v>
      </c>
      <c r="F34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14</v>
      </c>
      <c r="G34">
        <f>(Tabela5[[#This Row],[Quantidade inicial]]+Tabela5[[#This Row],[Quantidade Comprada]]-Tabela5[[#This Row],[Quantidade Vendida]])</f>
        <v>6</v>
      </c>
      <c r="H34" s="5" t="str">
        <f t="shared" si="0"/>
        <v>Comprar</v>
      </c>
    </row>
    <row r="35" spans="2:8" x14ac:dyDescent="0.25">
      <c r="B35" t="s">
        <v>135</v>
      </c>
      <c r="C35" s="21">
        <f>IFERROR(INDEX(Tabela2[],MATCH(Tabela5[[#This Row],[Produto]],Tabela2[Mercadoria],0),1),"-")</f>
        <v>45123</v>
      </c>
      <c r="D35" s="12">
        <v>10</v>
      </c>
      <c r="E35" s="12">
        <f>SUMIF(Tabela2[Mercadoria],Tabela5[[#This Row],[Produto]],Tabela2[Quantidade])</f>
        <v>50</v>
      </c>
      <c r="F35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6.9</v>
      </c>
      <c r="G35">
        <f>(Tabela5[[#This Row],[Quantidade inicial]]+Tabela5[[#This Row],[Quantidade Comprada]]-Tabela5[[#This Row],[Quantidade Vendida]])</f>
        <v>53.1</v>
      </c>
      <c r="H35" s="5" t="str">
        <f t="shared" si="0"/>
        <v>OK</v>
      </c>
    </row>
    <row r="36" spans="2:8" x14ac:dyDescent="0.25">
      <c r="B36" t="s">
        <v>71</v>
      </c>
      <c r="C36" s="21">
        <f>IFERROR(INDEX(Tabela2[],MATCH(Tabela5[[#This Row],[Produto]],Tabela2[Mercadoria],0),1),"-")</f>
        <v>45080</v>
      </c>
      <c r="D36" s="12">
        <v>100</v>
      </c>
      <c r="E36" s="12">
        <f>SUMIF(Tabela2[Mercadoria],Tabela5[[#This Row],[Produto]],Tabela2[Quantidade])</f>
        <v>50</v>
      </c>
      <c r="F36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27</v>
      </c>
      <c r="G36">
        <f>(Tabela5[[#This Row],[Quantidade inicial]]+Tabela5[[#This Row],[Quantidade Comprada]]-Tabela5[[#This Row],[Quantidade Vendida]])</f>
        <v>123</v>
      </c>
      <c r="H36" s="5" t="str">
        <f t="shared" si="0"/>
        <v>OK</v>
      </c>
    </row>
    <row r="37" spans="2:8" x14ac:dyDescent="0.25">
      <c r="B37" t="s">
        <v>38</v>
      </c>
      <c r="C37" s="21">
        <f>IFERROR(INDEX(Tabela2[],MATCH(Tabela5[[#This Row],[Produto]],Tabela2[Mercadoria],0),1),"-")</f>
        <v>45084</v>
      </c>
      <c r="D37" s="12">
        <v>0</v>
      </c>
      <c r="E37" s="12">
        <f>SUMIF(Tabela2[Mercadoria],Tabela5[[#This Row],[Produto]],Tabela2[Quantidade])</f>
        <v>100</v>
      </c>
      <c r="F37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79.8</v>
      </c>
      <c r="G37">
        <f>(Tabela5[[#This Row],[Quantidade inicial]]+Tabela5[[#This Row],[Quantidade Comprada]]-Tabela5[[#This Row],[Quantidade Vendida]])</f>
        <v>20.200000000000003</v>
      </c>
      <c r="H37" s="5" t="str">
        <f t="shared" si="0"/>
        <v>Atenção</v>
      </c>
    </row>
    <row r="38" spans="2:8" x14ac:dyDescent="0.25">
      <c r="B38" t="s">
        <v>131</v>
      </c>
      <c r="C38" s="21">
        <f>IFERROR(INDEX(Tabela2[],MATCH(Tabela5[[#This Row],[Produto]],Tabela2[Mercadoria],0),1),"-")</f>
        <v>45123</v>
      </c>
      <c r="D38" s="12">
        <v>30</v>
      </c>
      <c r="E38" s="12">
        <f>SUMIF(Tabela2[Mercadoria],Tabela5[[#This Row],[Produto]],Tabela2[Quantidade])</f>
        <v>100</v>
      </c>
      <c r="F38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18.700000000000003</v>
      </c>
      <c r="G38">
        <f>(Tabela5[[#This Row],[Quantidade inicial]]+Tabela5[[#This Row],[Quantidade Comprada]]-Tabela5[[#This Row],[Quantidade Vendida]])</f>
        <v>111.3</v>
      </c>
      <c r="H38" s="5" t="str">
        <f t="shared" si="0"/>
        <v>OK</v>
      </c>
    </row>
    <row r="39" spans="2:8" x14ac:dyDescent="0.25">
      <c r="B39" t="s">
        <v>39</v>
      </c>
      <c r="C39" s="21" t="str">
        <f>IFERROR(INDEX(Tabela2[],MATCH(Tabela5[[#This Row],[Produto]],Tabela2[Mercadoria],0),1),"-")</f>
        <v>-</v>
      </c>
      <c r="D39" s="12">
        <v>50</v>
      </c>
      <c r="E39" s="12">
        <f>SUMIF(Tabela2[Mercadoria],Tabela5[[#This Row],[Produto]],Tabela2[Quantidade])</f>
        <v>0</v>
      </c>
      <c r="F39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28.8</v>
      </c>
      <c r="G39">
        <f>(Tabela5[[#This Row],[Quantidade inicial]]+Tabela5[[#This Row],[Quantidade Comprada]]-Tabela5[[#This Row],[Quantidade Vendida]])</f>
        <v>21.2</v>
      </c>
      <c r="H39" s="5" t="str">
        <f t="shared" si="0"/>
        <v>Atenção</v>
      </c>
    </row>
    <row r="40" spans="2:8" x14ac:dyDescent="0.25">
      <c r="B40" t="s">
        <v>132</v>
      </c>
      <c r="C40" s="21">
        <f>IFERROR(INDEX(Tabela2[],MATCH(Tabela5[[#This Row],[Produto]],Tabela2[Mercadoria],0),1),"-")</f>
        <v>45123</v>
      </c>
      <c r="D40" s="12">
        <v>0</v>
      </c>
      <c r="E40" s="12">
        <f>SUMIF(Tabela2[Mercadoria],Tabela5[[#This Row],[Produto]],Tabela2[Quantidade])</f>
        <v>50</v>
      </c>
      <c r="F40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16</v>
      </c>
      <c r="G40">
        <f>(Tabela5[[#This Row],[Quantidade inicial]]+Tabela5[[#This Row],[Quantidade Comprada]]-Tabela5[[#This Row],[Quantidade Vendida]])</f>
        <v>34</v>
      </c>
      <c r="H40" s="5" t="str">
        <f t="shared" si="0"/>
        <v>Atenção</v>
      </c>
    </row>
    <row r="41" spans="2:8" x14ac:dyDescent="0.25">
      <c r="B41" t="s">
        <v>72</v>
      </c>
      <c r="C41" s="21" t="str">
        <f>IFERROR(INDEX(Tabela2[],MATCH(Tabela5[[#This Row],[Produto]],Tabela2[Mercadoria],0),1),"-")</f>
        <v>-</v>
      </c>
      <c r="D41" s="12">
        <v>20</v>
      </c>
      <c r="E41" s="12">
        <f>SUMIF(Tabela2[Mercadoria],Tabela5[[#This Row],[Produto]],Tabela2[Quantidade])</f>
        <v>0</v>
      </c>
      <c r="F41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790</v>
      </c>
      <c r="G41">
        <f>(Tabela5[[#This Row],[Quantidade inicial]]+Tabela5[[#This Row],[Quantidade Comprada]]-Tabela5[[#This Row],[Quantidade Vendida]])</f>
        <v>-770</v>
      </c>
      <c r="H41" s="5" t="str">
        <f t="shared" si="0"/>
        <v>Comprar</v>
      </c>
    </row>
    <row r="42" spans="2:8" x14ac:dyDescent="0.25">
      <c r="B42" t="s">
        <v>126</v>
      </c>
      <c r="C42" s="21">
        <f>IFERROR(INDEX(Tabela2[],MATCH(Tabela5[[#This Row],[Produto]],Tabela2[Mercadoria],0),1),"-")</f>
        <v>45123</v>
      </c>
      <c r="D42" s="12">
        <v>0</v>
      </c>
      <c r="E42" s="12">
        <f>SUMIF(Tabela2[Mercadoria],Tabela5[[#This Row],[Produto]],Tabela2[Quantidade])</f>
        <v>15</v>
      </c>
      <c r="F42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10</v>
      </c>
      <c r="G42">
        <f>(Tabela5[[#This Row],[Quantidade inicial]]+Tabela5[[#This Row],[Quantidade Comprada]]-Tabela5[[#This Row],[Quantidade Vendida]])</f>
        <v>5</v>
      </c>
      <c r="H42" s="5" t="str">
        <f t="shared" si="0"/>
        <v>Comprar</v>
      </c>
    </row>
    <row r="43" spans="2:8" x14ac:dyDescent="0.25">
      <c r="B43" t="s">
        <v>136</v>
      </c>
      <c r="C43" s="21">
        <f>IFERROR(INDEX(Tabela2[],MATCH(Tabela5[[#This Row],[Produto]],Tabela2[Mercadoria],0),1),"-")</f>
        <v>45123</v>
      </c>
      <c r="D43" s="12">
        <v>0</v>
      </c>
      <c r="E43" s="12">
        <f>SUMIF(Tabela2[Mercadoria],Tabela5[[#This Row],[Produto]],Tabela2[Quantidade])</f>
        <v>30</v>
      </c>
      <c r="F43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10</v>
      </c>
      <c r="G43">
        <f>(Tabela5[[#This Row],[Quantidade inicial]]+Tabela5[[#This Row],[Quantidade Comprada]]-Tabela5[[#This Row],[Quantidade Vendida]])</f>
        <v>20</v>
      </c>
      <c r="H43" s="5" t="str">
        <f t="shared" si="0"/>
        <v>Atenção</v>
      </c>
    </row>
    <row r="44" spans="2:8" x14ac:dyDescent="0.25">
      <c r="B44" t="s">
        <v>41</v>
      </c>
      <c r="C44" s="21">
        <f>IFERROR(INDEX(Tabela2[],MATCH(Tabela5[[#This Row],[Produto]],Tabela2[Mercadoria],0),1),"-")</f>
        <v>45051</v>
      </c>
      <c r="D44" s="12">
        <v>0</v>
      </c>
      <c r="E44" s="12">
        <f>SUMIF(Tabela2[Mercadoria],Tabela5[[#This Row],[Produto]],Tabela2[Quantidade])</f>
        <v>100</v>
      </c>
      <c r="F44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112</v>
      </c>
      <c r="G44">
        <f>(Tabela5[[#This Row],[Quantidade inicial]]+Tabela5[[#This Row],[Quantidade Comprada]]-Tabela5[[#This Row],[Quantidade Vendida]])</f>
        <v>-12</v>
      </c>
      <c r="H44" s="5" t="str">
        <f t="shared" si="0"/>
        <v>Comprar</v>
      </c>
    </row>
    <row r="45" spans="2:8" x14ac:dyDescent="0.25">
      <c r="B45" t="s">
        <v>34</v>
      </c>
      <c r="C45" s="21">
        <f>IFERROR(INDEX(Tabela2[],MATCH(Tabela5[[#This Row],[Produto]],Tabela2[Mercadoria],0),1),"-")</f>
        <v>45123</v>
      </c>
      <c r="D45" s="12">
        <v>39</v>
      </c>
      <c r="E45" s="12">
        <f>SUMIF(Tabela2[Mercadoria],Tabela5[[#This Row],[Produto]],Tabela2[Quantidade])</f>
        <v>100</v>
      </c>
      <c r="F45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135</v>
      </c>
      <c r="G45">
        <f>(Tabela5[[#This Row],[Quantidade inicial]]+Tabela5[[#This Row],[Quantidade Comprada]]-Tabela5[[#This Row],[Quantidade Vendida]])</f>
        <v>4</v>
      </c>
      <c r="H45" s="5" t="str">
        <f t="shared" si="0"/>
        <v>Comprar</v>
      </c>
    </row>
    <row r="46" spans="2:8" x14ac:dyDescent="0.25">
      <c r="B46" t="s">
        <v>43</v>
      </c>
      <c r="C46" s="21" t="str">
        <f>IFERROR(INDEX(Tabela2[],MATCH(Tabela5[[#This Row],[Produto]],Tabela2[Mercadoria],0),1),"-")</f>
        <v>-</v>
      </c>
      <c r="D46" s="12">
        <v>0</v>
      </c>
      <c r="E46" s="12">
        <f>SUMIF(Tabela2[Mercadoria],Tabela5[[#This Row],[Produto]],Tabela2[Quantidade])</f>
        <v>0</v>
      </c>
      <c r="F46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20.100000000000001</v>
      </c>
      <c r="G46">
        <f>(Tabela5[[#This Row],[Quantidade inicial]]+Tabela5[[#This Row],[Quantidade Comprada]]-Tabela5[[#This Row],[Quantidade Vendida]])</f>
        <v>-20.100000000000001</v>
      </c>
      <c r="H46" s="5" t="str">
        <f t="shared" si="0"/>
        <v>Comprar</v>
      </c>
    </row>
    <row r="47" spans="2:8" x14ac:dyDescent="0.25">
      <c r="B47" t="s">
        <v>40</v>
      </c>
      <c r="C47" s="21">
        <f>IFERROR(INDEX(Tabela2[],MATCH(Tabela5[[#This Row],[Produto]],Tabela2[Mercadoria],0),1),"-")</f>
        <v>45120</v>
      </c>
      <c r="D47" s="12">
        <v>0</v>
      </c>
      <c r="E47" s="12">
        <f>SUMIF(Tabela2[Mercadoria],Tabela5[[#This Row],[Produto]],Tabela2[Quantidade])</f>
        <v>150</v>
      </c>
      <c r="F47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634</v>
      </c>
      <c r="G47">
        <f>(Tabela5[[#This Row],[Quantidade inicial]]+Tabela5[[#This Row],[Quantidade Comprada]]-Tabela5[[#This Row],[Quantidade Vendida]])</f>
        <v>-484</v>
      </c>
      <c r="H47" s="5" t="str">
        <f t="shared" si="0"/>
        <v>Comprar</v>
      </c>
    </row>
    <row r="48" spans="2:8" x14ac:dyDescent="0.25">
      <c r="B48" t="s">
        <v>46</v>
      </c>
      <c r="C48" s="21" t="str">
        <f>IFERROR(INDEX(Tabela2[],MATCH(Tabela5[[#This Row],[Produto]],Tabela2[Mercadoria],0),1),"-")</f>
        <v>-</v>
      </c>
      <c r="D48" s="12">
        <v>10</v>
      </c>
      <c r="E48" s="12">
        <f>SUMIF(Tabela2[Mercadoria],Tabela5[[#This Row],[Produto]],Tabela2[Quantidade])</f>
        <v>0</v>
      </c>
      <c r="F48">
        <f>SUMIF(VendasSem1[Produto],Tabela5[[#This Row],[Produto]],VendasSem1[Quantidade])+SUMIF(VendasSem2[Produto],Tabela5[[#This Row],[Produto]],VendasSem2[Quantidade])+SUMIF(VendasSem3[Produto],Tabela5[[#This Row],[Produto]],VendasSem3[Quantidade])+SUMIF(VendasSem4[Produto],Tabela5[[#This Row],[Produto]],VendasSem4[Quantidade])</f>
        <v>353</v>
      </c>
      <c r="G48">
        <f>(Tabela5[[#This Row],[Quantidade inicial]]+Tabela5[[#This Row],[Quantidade Comprada]]-Tabela5[[#This Row],[Quantidade Vendida]])</f>
        <v>-343</v>
      </c>
      <c r="H48" s="5" t="str">
        <f t="shared" si="0"/>
        <v>Comprar</v>
      </c>
    </row>
  </sheetData>
  <conditionalFormatting sqref="H5:H48">
    <cfRule type="cellIs" dxfId="34" priority="1" operator="equal">
      <formula>"Atenção"</formula>
    </cfRule>
    <cfRule type="cellIs" dxfId="33" priority="2" operator="equal">
      <formula>"Comprar"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E4A4-51E8-42D0-9097-DFBEDEBE708F}">
  <sheetPr codeName="Planilha6"/>
  <dimension ref="B2:E28"/>
  <sheetViews>
    <sheetView showGridLines="0" topLeftCell="A11" workbookViewId="0">
      <selection activeCell="H8" sqref="H8"/>
    </sheetView>
  </sheetViews>
  <sheetFormatPr defaultRowHeight="15" x14ac:dyDescent="0.25"/>
  <cols>
    <col min="2" max="2" width="26.140625" bestFit="1" customWidth="1"/>
    <col min="3" max="5" width="34.5703125" customWidth="1"/>
  </cols>
  <sheetData>
    <row r="2" spans="2:5" s="25" customFormat="1" ht="27.95" customHeight="1" x14ac:dyDescent="0.25">
      <c r="B2" s="24" t="s">
        <v>151</v>
      </c>
    </row>
    <row r="6" spans="2:5" ht="15.75" x14ac:dyDescent="0.25">
      <c r="C6" s="58" t="s">
        <v>152</v>
      </c>
      <c r="D6" s="58"/>
      <c r="E6" s="59">
        <f>SUM(E7:E8)</f>
        <v>56560.628000000012</v>
      </c>
    </row>
    <row r="7" spans="2:5" ht="15.75" x14ac:dyDescent="0.25">
      <c r="C7" s="60"/>
      <c r="D7" s="61" t="s">
        <v>160</v>
      </c>
      <c r="E7" s="62">
        <f>Vendas!D16-Resultados!E8</f>
        <v>56024.22800000001</v>
      </c>
    </row>
    <row r="8" spans="2:5" ht="15.75" x14ac:dyDescent="0.25">
      <c r="C8" s="60"/>
      <c r="D8" s="60" t="s">
        <v>161</v>
      </c>
      <c r="E8" s="63">
        <f>Vendas!D28</f>
        <v>536.4</v>
      </c>
    </row>
    <row r="9" spans="2:5" ht="15.75" x14ac:dyDescent="0.25">
      <c r="C9" s="60"/>
      <c r="D9" s="60"/>
      <c r="E9" s="63"/>
    </row>
    <row r="10" spans="2:5" ht="15.75" x14ac:dyDescent="0.25">
      <c r="C10" s="60" t="s">
        <v>153</v>
      </c>
      <c r="D10" s="60"/>
      <c r="E10" s="64">
        <f>0.15*E6</f>
        <v>8484.0942000000014</v>
      </c>
    </row>
    <row r="11" spans="2:5" ht="16.5" thickBot="1" x14ac:dyDescent="0.3">
      <c r="C11" s="65" t="s">
        <v>154</v>
      </c>
      <c r="D11" s="65"/>
      <c r="E11" s="66">
        <f>(E10-E6)</f>
        <v>-48076.533800000012</v>
      </c>
    </row>
    <row r="12" spans="2:5" ht="15.75" x14ac:dyDescent="0.25">
      <c r="C12" s="60"/>
      <c r="D12" s="60"/>
      <c r="E12" s="60"/>
    </row>
    <row r="13" spans="2:5" ht="15.75" x14ac:dyDescent="0.25">
      <c r="C13" s="58" t="s">
        <v>85</v>
      </c>
      <c r="D13" s="58"/>
      <c r="E13" s="59">
        <f>SUM(E14:E15)</f>
        <v>68256.63205</v>
      </c>
    </row>
    <row r="14" spans="2:5" ht="15.75" x14ac:dyDescent="0.25">
      <c r="C14" s="60"/>
      <c r="D14" s="61" t="s">
        <v>162</v>
      </c>
      <c r="E14" s="62">
        <f>'Compras Mercadorias'!I50</f>
        <v>22849.632049999997</v>
      </c>
    </row>
    <row r="15" spans="2:5" ht="15.75" x14ac:dyDescent="0.25">
      <c r="C15" s="60"/>
      <c r="D15" s="60" t="s">
        <v>163</v>
      </c>
      <c r="E15" s="63">
        <f>Despesas!G31</f>
        <v>45407</v>
      </c>
    </row>
    <row r="16" spans="2:5" ht="16.5" thickBot="1" x14ac:dyDescent="0.3">
      <c r="C16" s="65"/>
      <c r="D16" s="65"/>
      <c r="E16" s="67"/>
    </row>
    <row r="17" spans="3:5" ht="16.5" thickBot="1" x14ac:dyDescent="0.3">
      <c r="C17" s="68" t="s">
        <v>155</v>
      </c>
      <c r="D17" s="68"/>
      <c r="E17" s="69">
        <f>E6-E13</f>
        <v>-11696.004049999989</v>
      </c>
    </row>
    <row r="18" spans="3:5" ht="16.5" thickTop="1" x14ac:dyDescent="0.25">
      <c r="C18" s="60"/>
      <c r="D18" s="60"/>
      <c r="E18" s="60"/>
    </row>
    <row r="19" spans="3:5" ht="15.75" x14ac:dyDescent="0.25">
      <c r="C19" s="60" t="s">
        <v>1</v>
      </c>
      <c r="D19" s="60"/>
      <c r="E19" s="63">
        <f>Investimentos!E5</f>
        <v>400000</v>
      </c>
    </row>
    <row r="20" spans="3:5" ht="15.75" x14ac:dyDescent="0.25">
      <c r="C20" s="60"/>
      <c r="D20" s="60"/>
      <c r="E20" s="60"/>
    </row>
    <row r="21" spans="3:5" ht="15.75" x14ac:dyDescent="0.25">
      <c r="C21" s="60" t="s">
        <v>156</v>
      </c>
      <c r="D21" s="60"/>
      <c r="E21" s="64">
        <v>300</v>
      </c>
    </row>
    <row r="22" spans="3:5" ht="15.75" x14ac:dyDescent="0.25">
      <c r="C22" s="60"/>
      <c r="D22" s="60"/>
      <c r="E22" s="60"/>
    </row>
    <row r="23" spans="3:5" ht="16.5" thickBot="1" x14ac:dyDescent="0.3">
      <c r="C23" s="70" t="s">
        <v>157</v>
      </c>
      <c r="D23" s="70"/>
      <c r="E23" s="71">
        <f>E17-E19-E21</f>
        <v>-411996.00404999999</v>
      </c>
    </row>
    <row r="24" spans="3:5" ht="16.5" thickTop="1" x14ac:dyDescent="0.25">
      <c r="C24" s="60"/>
      <c r="D24" s="60"/>
      <c r="E24" s="60"/>
    </row>
    <row r="25" spans="3:5" ht="15.75" x14ac:dyDescent="0.25">
      <c r="C25" s="60" t="s">
        <v>158</v>
      </c>
      <c r="D25" s="60"/>
      <c r="E25" s="63">
        <f>IF(E23&gt;0,0.3*E23,0)</f>
        <v>0</v>
      </c>
    </row>
    <row r="26" spans="3:5" ht="15.75" x14ac:dyDescent="0.25">
      <c r="C26" s="60"/>
      <c r="D26" s="60"/>
      <c r="E26" s="60"/>
    </row>
    <row r="27" spans="3:5" ht="16.5" thickBot="1" x14ac:dyDescent="0.3">
      <c r="C27" s="70" t="s">
        <v>159</v>
      </c>
      <c r="D27" s="70"/>
      <c r="E27" s="71">
        <f>E23-E25</f>
        <v>-411996.00404999999</v>
      </c>
    </row>
    <row r="28" spans="3:5" ht="15.75" thickTop="1" x14ac:dyDescent="0.25"/>
  </sheetData>
  <conditionalFormatting sqref="E23 E17 E27">
    <cfRule type="cellIs" dxfId="25" priority="2" operator="lessThan">
      <formula>0</formula>
    </cfRule>
  </conditionalFormatting>
  <conditionalFormatting sqref="I17 E17 E23 E27">
    <cfRule type="cellIs" dxfId="24" priority="1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34FEF-D0BD-4038-9C2F-EF57248C2007}">
  <sheetPr codeName="Planilha7"/>
  <dimension ref="B2:K52"/>
  <sheetViews>
    <sheetView showGridLines="0" tabSelected="1" zoomScale="70" zoomScaleNormal="70" workbookViewId="0">
      <selection activeCell="E27" sqref="E27"/>
    </sheetView>
  </sheetViews>
  <sheetFormatPr defaultRowHeight="15" x14ac:dyDescent="0.25"/>
  <cols>
    <col min="2" max="2" width="13.42578125" customWidth="1"/>
    <col min="3" max="3" width="33.85546875" bestFit="1" customWidth="1"/>
    <col min="4" max="4" width="22.7109375" bestFit="1" customWidth="1"/>
    <col min="5" max="9" width="15.140625" customWidth="1"/>
    <col min="10" max="10" width="18.85546875" customWidth="1"/>
    <col min="11" max="11" width="13.7109375" bestFit="1" customWidth="1"/>
  </cols>
  <sheetData>
    <row r="2" spans="2:11" s="25" customFormat="1" ht="27.95" customHeight="1" x14ac:dyDescent="0.25">
      <c r="B2" s="24" t="s">
        <v>138</v>
      </c>
    </row>
    <row r="4" spans="2:11" ht="21" x14ac:dyDescent="0.35">
      <c r="K4" s="35" t="s">
        <v>141</v>
      </c>
    </row>
    <row r="5" spans="2:11" x14ac:dyDescent="0.25">
      <c r="B5" s="36"/>
      <c r="C5" s="23"/>
      <c r="D5" s="23"/>
      <c r="E5" s="23"/>
      <c r="F5" s="23"/>
      <c r="G5" s="23"/>
      <c r="H5" s="23"/>
      <c r="I5" s="23"/>
      <c r="J5" s="23"/>
      <c r="K5" s="37"/>
    </row>
    <row r="6" spans="2:11" x14ac:dyDescent="0.25">
      <c r="B6" s="38"/>
      <c r="K6" s="39"/>
    </row>
    <row r="7" spans="2:11" ht="18.75" x14ac:dyDescent="0.3">
      <c r="B7" s="38"/>
      <c r="C7" s="44" t="s">
        <v>142</v>
      </c>
      <c r="D7" s="45">
        <f>'Sem1'!M39</f>
        <v>2596.9249999999993</v>
      </c>
      <c r="K7" s="39"/>
    </row>
    <row r="8" spans="2:11" ht="18.75" x14ac:dyDescent="0.3">
      <c r="B8" s="38"/>
      <c r="C8" s="46" t="s">
        <v>143</v>
      </c>
      <c r="D8" s="47">
        <f>'Sem2'!M33</f>
        <v>5720.5099999999975</v>
      </c>
      <c r="K8" s="39"/>
    </row>
    <row r="9" spans="2:11" ht="18.75" x14ac:dyDescent="0.3">
      <c r="B9" s="38"/>
      <c r="C9" s="46" t="s">
        <v>144</v>
      </c>
      <c r="D9" s="47">
        <f>'Sem3'!M54</f>
        <v>2939.9900000000007</v>
      </c>
      <c r="K9" s="39"/>
    </row>
    <row r="10" spans="2:11" ht="18.75" x14ac:dyDescent="0.3">
      <c r="B10" s="38"/>
      <c r="C10" s="46" t="s">
        <v>145</v>
      </c>
      <c r="D10" s="47">
        <f>'Sem4'!M568</f>
        <v>45303.203000000009</v>
      </c>
      <c r="K10" s="39"/>
    </row>
    <row r="11" spans="2:11" ht="18.75" x14ac:dyDescent="0.3">
      <c r="B11" s="38"/>
      <c r="C11" s="48"/>
      <c r="D11" s="49"/>
      <c r="K11" s="39"/>
    </row>
    <row r="12" spans="2:11" x14ac:dyDescent="0.25">
      <c r="B12" s="38"/>
      <c r="K12" s="39"/>
    </row>
    <row r="13" spans="2:11" x14ac:dyDescent="0.25">
      <c r="B13" s="38"/>
      <c r="K13" s="39"/>
    </row>
    <row r="14" spans="2:11" x14ac:dyDescent="0.25">
      <c r="B14" s="38"/>
      <c r="K14" s="39"/>
    </row>
    <row r="15" spans="2:11" x14ac:dyDescent="0.25">
      <c r="B15" s="38"/>
      <c r="K15" s="39"/>
    </row>
    <row r="16" spans="2:11" ht="18.75" x14ac:dyDescent="0.3">
      <c r="B16" s="38"/>
      <c r="C16" s="50" t="str">
        <f>"Total de Vendas de " &amp; K4</f>
        <v>Total de Vendas de Setembro</v>
      </c>
      <c r="D16" s="51">
        <f>SUM(D7:D11)</f>
        <v>56560.628000000012</v>
      </c>
      <c r="K16" s="39"/>
    </row>
    <row r="17" spans="2:11" x14ac:dyDescent="0.25">
      <c r="B17" s="38"/>
      <c r="K17" s="39"/>
    </row>
    <row r="18" spans="2:11" x14ac:dyDescent="0.25">
      <c r="B18" s="38"/>
      <c r="K18" s="39"/>
    </row>
    <row r="19" spans="2:11" x14ac:dyDescent="0.25">
      <c r="B19" s="40"/>
      <c r="C19" s="22"/>
      <c r="D19" s="22"/>
      <c r="E19" s="22"/>
      <c r="F19" s="22"/>
      <c r="G19" s="22"/>
      <c r="H19" s="22"/>
      <c r="I19" s="22"/>
      <c r="J19" s="22"/>
      <c r="K19" s="41"/>
    </row>
    <row r="24" spans="2:11" x14ac:dyDescent="0.25">
      <c r="B24" s="36"/>
      <c r="C24" s="23"/>
      <c r="D24" s="23"/>
      <c r="E24" s="23"/>
      <c r="F24" s="23"/>
      <c r="G24" s="23"/>
      <c r="H24" s="23"/>
      <c r="I24" s="23"/>
      <c r="J24" s="23"/>
      <c r="K24" s="37"/>
    </row>
    <row r="25" spans="2:11" x14ac:dyDescent="0.25">
      <c r="B25" s="38"/>
      <c r="K25" s="39"/>
    </row>
    <row r="26" spans="2:11" ht="18.75" x14ac:dyDescent="0.3">
      <c r="B26" s="38"/>
      <c r="C26" s="44" t="s">
        <v>146</v>
      </c>
      <c r="D26" s="53">
        <f>SUM(COUNTIF(VendasSem1[Valor de Entrega],"&gt;0"),COUNTIF(VendasSem2[Valor de Entrega],"&gt;0"),COUNTIF(VendasSem3[Valor de Entrega],"&gt;0"),COUNTIF(VendasSem4[Valor de Entrega],"&gt;0"))/SUM('Sem1'!M41,'Sem2'!M35,'Sem3'!M56,'Sem4'!M570)</f>
        <v>0.5</v>
      </c>
      <c r="K26" s="39"/>
    </row>
    <row r="27" spans="2:11" ht="18.75" x14ac:dyDescent="0.3">
      <c r="B27" s="38"/>
      <c r="C27" s="46" t="s">
        <v>147</v>
      </c>
      <c r="D27" s="80">
        <f>SUMIF(VendasSem1[Valor de Entrega],"&gt;0",VendasSem1[Total para Cliente])+SUMIF(VendasSem2[Valor de Entrega],"&gt;0",VendasSem2[Total para Cliente])+SUMIF(VendasSem3[Valor de Entrega],"&gt;0",VendasSem3[Total para Cliente])+SUMIF(VendasSem4[Valor de Entrega],"&gt;0",VendasSem4[Total para Cliente])</f>
        <v>35121.23000000001</v>
      </c>
      <c r="K27" s="39"/>
    </row>
    <row r="28" spans="2:11" ht="18.75" x14ac:dyDescent="0.3">
      <c r="B28" s="38"/>
      <c r="C28" s="48" t="s">
        <v>148</v>
      </c>
      <c r="D28" s="81">
        <f>SUM('Sem1'!M40+'Sem2'!M34+'Sem3'!M55+'Sem4'!M569)</f>
        <v>536.4</v>
      </c>
      <c r="K28" s="39"/>
    </row>
    <row r="29" spans="2:11" x14ac:dyDescent="0.25">
      <c r="B29" s="38"/>
      <c r="K29" s="39"/>
    </row>
    <row r="30" spans="2:11" x14ac:dyDescent="0.25">
      <c r="B30" s="38"/>
      <c r="K30" s="39"/>
    </row>
    <row r="31" spans="2:11" x14ac:dyDescent="0.25">
      <c r="B31" s="38"/>
      <c r="K31" s="39"/>
    </row>
    <row r="32" spans="2:11" ht="18.75" x14ac:dyDescent="0.3">
      <c r="B32" s="38"/>
      <c r="C32" s="50" t="s">
        <v>139</v>
      </c>
      <c r="D32" s="43">
        <f>SUM('Sem1'!M39,'Sem2'!M33,'Sem3'!M54,'Sem4'!M568)/SUM('Sem1'!M41,'Sem2'!M35,'Sem3'!M56,'Sem4'!M570)</f>
        <v>543.85219230769246</v>
      </c>
      <c r="K32" s="39"/>
    </row>
    <row r="33" spans="2:11" x14ac:dyDescent="0.25">
      <c r="B33" s="38"/>
      <c r="K33" s="39"/>
    </row>
    <row r="34" spans="2:11" x14ac:dyDescent="0.25">
      <c r="B34" s="38"/>
      <c r="K34" s="39"/>
    </row>
    <row r="35" spans="2:11" x14ac:dyDescent="0.25">
      <c r="B35" s="38"/>
      <c r="K35" s="39"/>
    </row>
    <row r="36" spans="2:11" x14ac:dyDescent="0.25">
      <c r="B36" s="40"/>
      <c r="C36" s="22"/>
      <c r="D36" s="22"/>
      <c r="E36" s="22"/>
      <c r="F36" s="22"/>
      <c r="G36" s="22"/>
      <c r="H36" s="22"/>
      <c r="I36" s="22"/>
      <c r="J36" s="22"/>
      <c r="K36" s="41"/>
    </row>
    <row r="40" spans="2:11" x14ac:dyDescent="0.25">
      <c r="B40" s="36"/>
      <c r="C40" s="23"/>
      <c r="D40" s="23"/>
      <c r="E40" s="23"/>
      <c r="F40" s="23"/>
      <c r="G40" s="23"/>
      <c r="H40" s="23"/>
      <c r="I40" s="23"/>
      <c r="J40" s="23"/>
      <c r="K40" s="37"/>
    </row>
    <row r="41" spans="2:11" ht="18.75" x14ac:dyDescent="0.3">
      <c r="B41" s="38"/>
      <c r="C41" s="50" t="s">
        <v>140</v>
      </c>
      <c r="K41" s="39"/>
    </row>
    <row r="42" spans="2:11" x14ac:dyDescent="0.25">
      <c r="B42" s="54"/>
      <c r="K42" s="39"/>
    </row>
    <row r="43" spans="2:11" ht="18.75" x14ac:dyDescent="0.3">
      <c r="B43" s="38"/>
      <c r="D43" s="50" t="s">
        <v>150</v>
      </c>
      <c r="K43" s="39"/>
    </row>
    <row r="44" spans="2:11" ht="18.75" x14ac:dyDescent="0.3">
      <c r="B44" s="38"/>
      <c r="C44" s="55" t="s">
        <v>109</v>
      </c>
      <c r="D44" s="42">
        <f>COUNTIFS(VendasSem1[Região de Entrega],Vendas!C44,VendasSem1[Total para Cliente],"&gt;0")+COUNTIFS(VendasSem2[Região de Entrega],Vendas!C44,VendasSem2[Total para Cliente],"&gt;0")+COUNTIFS(VendasSem3[Região de Entrega],Vendas!C44,VendasSem3[Total para Cliente],"&gt;0")+COUNTIFS(VendasSem4[Região de Entrega],Vendas!C44,VendasSem4[Total para Cliente],"&gt;0")</f>
        <v>53</v>
      </c>
      <c r="K44" s="39"/>
    </row>
    <row r="45" spans="2:11" ht="18.75" x14ac:dyDescent="0.3">
      <c r="B45" s="38"/>
      <c r="C45" s="56" t="s">
        <v>108</v>
      </c>
      <c r="D45" s="42">
        <f>COUNTIFS(VendasSem1[Região de Entrega],Vendas!C45,VendasSem1[Total para Cliente],"&gt;0")+COUNTIFS(VendasSem2[Região de Entrega],Vendas!C45,VendasSem2[Total para Cliente],"&gt;0")+COUNTIFS(VendasSem3[Região de Entrega],Vendas!C45,VendasSem3[Total para Cliente],"&gt;0")+COUNTIFS(VendasSem4[Região de Entrega],Vendas!C45,VendasSem4[Total para Cliente],"&gt;0")</f>
        <v>18</v>
      </c>
      <c r="K45" s="39"/>
    </row>
    <row r="46" spans="2:11" ht="18.75" x14ac:dyDescent="0.3">
      <c r="B46" s="38"/>
      <c r="C46" s="56" t="s">
        <v>110</v>
      </c>
      <c r="D46" s="42">
        <f>COUNTIFS(VendasSem1[Região de Entrega],Vendas!C46,VendasSem1[Total para Cliente],"&gt;0")+COUNTIFS(VendasSem2[Região de Entrega],Vendas!C46,VendasSem2[Total para Cliente],"&gt;0")+COUNTIFS(VendasSem3[Região de Entrega],Vendas!C46,VendasSem3[Total para Cliente],"&gt;0")+COUNTIFS(VendasSem4[Região de Entrega],Vendas!C46,VendasSem4[Total para Cliente],"&gt;0")</f>
        <v>8</v>
      </c>
      <c r="K46" s="39"/>
    </row>
    <row r="47" spans="2:11" ht="18.75" x14ac:dyDescent="0.3">
      <c r="B47" s="38"/>
      <c r="C47" s="56" t="s">
        <v>112</v>
      </c>
      <c r="D47" s="42">
        <f>COUNTIFS(VendasSem1[Região de Entrega],Vendas!C47,VendasSem1[Total para Cliente],"&gt;0")+COUNTIFS(VendasSem2[Região de Entrega],Vendas!C47,VendasSem2[Total para Cliente],"&gt;0")+COUNTIFS(VendasSem3[Região de Entrega],Vendas!C47,VendasSem3[Total para Cliente],"&gt;0")+COUNTIFS(VendasSem4[Região de Entrega],Vendas!C47,VendasSem4[Total para Cliente],"&gt;0")</f>
        <v>17</v>
      </c>
      <c r="K47" s="39"/>
    </row>
    <row r="48" spans="2:11" ht="18.75" x14ac:dyDescent="0.3">
      <c r="B48" s="38"/>
      <c r="C48" s="57" t="s">
        <v>111</v>
      </c>
      <c r="D48" s="42">
        <f>COUNTIFS(VendasSem1[Região de Entrega],Vendas!C48,VendasSem1[Total para Cliente],"&gt;0")+COUNTIFS(VendasSem2[Região de Entrega],Vendas!C48,VendasSem2[Total para Cliente],"&gt;0")+COUNTIFS(VendasSem3[Região de Entrega],Vendas!C48,VendasSem3[Total para Cliente],"&gt;0")+COUNTIFS(VendasSem4[Região de Entrega],Vendas!C48,VendasSem4[Total para Cliente],"&gt;0")</f>
        <v>9</v>
      </c>
      <c r="K48" s="39"/>
    </row>
    <row r="49" spans="2:11" x14ac:dyDescent="0.25">
      <c r="B49" s="38"/>
      <c r="K49" s="39"/>
    </row>
    <row r="50" spans="2:11" x14ac:dyDescent="0.25">
      <c r="B50" s="38"/>
      <c r="K50" s="39"/>
    </row>
    <row r="51" spans="2:11" x14ac:dyDescent="0.25">
      <c r="B51" s="38"/>
      <c r="K51" s="39"/>
    </row>
    <row r="52" spans="2:11" x14ac:dyDescent="0.25">
      <c r="B52" s="40"/>
      <c r="C52" s="22"/>
      <c r="D52" s="22"/>
      <c r="E52" s="22"/>
      <c r="F52" s="22"/>
      <c r="G52" s="22"/>
      <c r="H52" s="22"/>
      <c r="I52" s="22"/>
      <c r="J52" s="22"/>
      <c r="K52" s="41"/>
    </row>
  </sheetData>
  <phoneticPr fontId="9" type="noConversion"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AC2B6-1AE9-4AFF-B70D-A9CE620552B0}">
  <sheetPr codeName="Planilha8"/>
  <dimension ref="B2:M41"/>
  <sheetViews>
    <sheetView showGridLines="0" topLeftCell="B38" workbookViewId="0">
      <selection activeCell="M40" sqref="M40"/>
    </sheetView>
  </sheetViews>
  <sheetFormatPr defaultRowHeight="15" x14ac:dyDescent="0.25"/>
  <cols>
    <col min="1" max="1" width="21.7109375" customWidth="1"/>
    <col min="2" max="2" width="15.5703125" customWidth="1"/>
    <col min="3" max="3" width="10.140625" customWidth="1"/>
    <col min="4" max="4" width="15.7109375" bestFit="1" customWidth="1"/>
    <col min="5" max="5" width="9.7109375" customWidth="1"/>
    <col min="6" max="6" width="13.5703125" customWidth="1"/>
    <col min="7" max="7" width="15.85546875" customWidth="1"/>
    <col min="8" max="8" width="10.7109375" customWidth="1"/>
    <col min="9" max="9" width="11.85546875" customWidth="1"/>
    <col min="10" max="10" width="19.28515625" customWidth="1"/>
    <col min="11" max="11" width="17.7109375" customWidth="1"/>
    <col min="12" max="12" width="14.5703125" customWidth="1"/>
    <col min="13" max="13" width="19" customWidth="1"/>
  </cols>
  <sheetData>
    <row r="2" spans="2:13" s="25" customFormat="1" ht="27.95" customHeight="1" x14ac:dyDescent="0.25">
      <c r="B2" s="24" t="s">
        <v>100</v>
      </c>
    </row>
    <row r="4" spans="2:13" x14ac:dyDescent="0.25">
      <c r="B4" t="s">
        <v>101</v>
      </c>
      <c r="C4" t="s">
        <v>13</v>
      </c>
      <c r="D4" t="s">
        <v>93</v>
      </c>
      <c r="E4" t="s">
        <v>51</v>
      </c>
      <c r="F4" t="s">
        <v>52</v>
      </c>
      <c r="G4" t="s">
        <v>53</v>
      </c>
      <c r="H4" t="s">
        <v>102</v>
      </c>
      <c r="I4" t="s">
        <v>54</v>
      </c>
      <c r="J4" t="s">
        <v>103</v>
      </c>
      <c r="K4" t="s">
        <v>104</v>
      </c>
      <c r="L4" t="s">
        <v>105</v>
      </c>
      <c r="M4" t="s">
        <v>106</v>
      </c>
    </row>
    <row r="5" spans="2:13" x14ac:dyDescent="0.25">
      <c r="B5">
        <v>15</v>
      </c>
      <c r="C5" s="7">
        <v>45178</v>
      </c>
      <c r="D5" t="s">
        <v>32</v>
      </c>
      <c r="E5" t="str">
        <f>IFERROR(VLOOKUP(VendasSem1[[#This Row],[Produto]],cálculos!$I$3:$L$50,4,0),"")</f>
        <v>Kg</v>
      </c>
      <c r="F5">
        <v>6</v>
      </c>
      <c r="G5" s="6">
        <f>IFERROR(VLOOKUP(VendasSem1[[#This Row],[Produto]],cálculos!$I$3:$L$50,3,0),0)</f>
        <v>2.4900000000000002</v>
      </c>
      <c r="H5" s="6">
        <f>IFERROR(VendasSem1[[#This Row],[Quantidade]]*VendasSem1[[#This Row],[Preço Unitário]],0)</f>
        <v>14.940000000000001</v>
      </c>
      <c r="I5" s="11"/>
      <c r="J5" t="s">
        <v>109</v>
      </c>
      <c r="K5" s="6">
        <f>IFERROR(IF(VendasSem1[[#This Row],[Id da Venda]]=B6,0,VLOOKUP(VendasSem1[[#This Row],[Região de Entrega]],cálculos!$B$5:$C$9,2,0)),0)</f>
        <v>0</v>
      </c>
      <c r="L5" s="6">
        <f>(VendasSem1[[#This Row],[Subtotal]]*(1-VendasSem1[[#This Row],[Desconto]])+VendasSem1[[#This Row],[Valor de Entrega]])</f>
        <v>14.940000000000001</v>
      </c>
      <c r="M5" s="6" t="str">
        <f>IFERROR(IF(VendasSem1[[#This Row],[Id da Venda]]=B6,"",SUMIF(VendasSem1[Id da Venda],VendasSem1[[#This Row],[Id da Venda]],VendasSem1[Total])),0)</f>
        <v/>
      </c>
    </row>
    <row r="6" spans="2:13" x14ac:dyDescent="0.25">
      <c r="B6">
        <v>15</v>
      </c>
      <c r="C6" s="7">
        <v>45178</v>
      </c>
      <c r="D6" t="s">
        <v>120</v>
      </c>
      <c r="E6" t="str">
        <f>IFERROR(VLOOKUP(VendasSem1[[#This Row],[Produto]],cálculos!$I$3:$L$50,4,0),"")</f>
        <v>Kg</v>
      </c>
      <c r="F6">
        <v>2</v>
      </c>
      <c r="G6" s="6">
        <f>IFERROR(VLOOKUP(VendasSem1[[#This Row],[Produto]],cálculos!$I$3:$L$50,3,0),0)</f>
        <v>4.5</v>
      </c>
      <c r="H6" s="6">
        <f>IFERROR(VendasSem1[[#This Row],[Quantidade]]*VendasSem1[[#This Row],[Preço Unitário]],0)</f>
        <v>9</v>
      </c>
      <c r="I6" s="11"/>
      <c r="J6" t="s">
        <v>109</v>
      </c>
      <c r="K6" s="6">
        <f>IFERROR(IF(VendasSem1[[#This Row],[Id da Venda]]=B7,0,VLOOKUP(VendasSem1[[#This Row],[Região de Entrega]],cálculos!$B$5:$C$9,2,0)),0)</f>
        <v>0</v>
      </c>
      <c r="L6" s="6">
        <f>(VendasSem1[[#This Row],[Subtotal]]*(1-VendasSem1[[#This Row],[Desconto]])+VendasSem1[[#This Row],[Valor de Entrega]])</f>
        <v>9</v>
      </c>
      <c r="M6" s="6" t="str">
        <f>IFERROR(IF(VendasSem1[[#This Row],[Id da Venda]]=B7,"",SUMIF(VendasSem1[Id da Venda],VendasSem1[[#This Row],[Id da Venda]],VendasSem1[Total])),0)</f>
        <v/>
      </c>
    </row>
    <row r="7" spans="2:13" x14ac:dyDescent="0.25">
      <c r="B7">
        <v>15</v>
      </c>
      <c r="C7" s="7">
        <v>45178</v>
      </c>
      <c r="D7" t="s">
        <v>119</v>
      </c>
      <c r="E7" t="str">
        <f>IFERROR(VLOOKUP(VendasSem1[[#This Row],[Produto]],cálculos!$I$3:$L$50,4,0),"")</f>
        <v>Kg</v>
      </c>
      <c r="F7">
        <v>1</v>
      </c>
      <c r="G7" s="6">
        <f>IFERROR(VLOOKUP(VendasSem1[[#This Row],[Produto]],cálculos!$I$3:$L$50,3,0),0)</f>
        <v>6.8</v>
      </c>
      <c r="H7" s="6">
        <f>IFERROR(VendasSem1[[#This Row],[Quantidade]]*VendasSem1[[#This Row],[Preço Unitário]],0)</f>
        <v>6.8</v>
      </c>
      <c r="I7" s="11"/>
      <c r="J7" t="s">
        <v>109</v>
      </c>
      <c r="K7" s="6">
        <f>IFERROR(IF(VendasSem1[[#This Row],[Id da Venda]]=B8,0,VLOOKUP(VendasSem1[[#This Row],[Região de Entrega]],cálculos!$B$5:$C$9,2,0)),0)</f>
        <v>0</v>
      </c>
      <c r="L7" s="6">
        <f>(VendasSem1[[#This Row],[Subtotal]]*(1-VendasSem1[[#This Row],[Desconto]])+VendasSem1[[#This Row],[Valor de Entrega]])</f>
        <v>6.8</v>
      </c>
      <c r="M7" s="6" t="str">
        <f>IFERROR(IF(VendasSem1[[#This Row],[Id da Venda]]=B8,"",SUMIF(VendasSem1[Id da Venda],VendasSem1[[#This Row],[Id da Venda]],VendasSem1[Total])),0)</f>
        <v/>
      </c>
    </row>
    <row r="8" spans="2:13" x14ac:dyDescent="0.25">
      <c r="B8">
        <v>15</v>
      </c>
      <c r="C8" s="7">
        <v>45178</v>
      </c>
      <c r="D8" t="s">
        <v>125</v>
      </c>
      <c r="E8" t="str">
        <f>IFERROR(VLOOKUP(VendasSem1[[#This Row],[Produto]],cálculos!$I$3:$L$50,4,0),"")</f>
        <v>Unidade</v>
      </c>
      <c r="F8">
        <v>2</v>
      </c>
      <c r="G8" s="6">
        <f>IFERROR(VLOOKUP(VendasSem1[[#This Row],[Produto]],cálculos!$I$3:$L$50,3,0),0)</f>
        <v>4.5</v>
      </c>
      <c r="H8" s="6">
        <f>IFERROR(VendasSem1[[#This Row],[Quantidade]]*VendasSem1[[#This Row],[Preço Unitário]],0)</f>
        <v>9</v>
      </c>
      <c r="I8" s="11"/>
      <c r="J8" t="s">
        <v>109</v>
      </c>
      <c r="K8" s="6">
        <f>IFERROR(IF(VendasSem1[[#This Row],[Id da Venda]]=B9,0,VLOOKUP(VendasSem1[[#This Row],[Região de Entrega]],cálculos!$B$5:$C$9,2,0)),0)</f>
        <v>0</v>
      </c>
      <c r="L8" s="6">
        <f>(VendasSem1[[#This Row],[Subtotal]]*(1-VendasSem1[[#This Row],[Desconto]])+VendasSem1[[#This Row],[Valor de Entrega]])</f>
        <v>9</v>
      </c>
      <c r="M8" s="6" t="str">
        <f>IFERROR(IF(VendasSem1[[#This Row],[Id da Venda]]=B9,"",SUMIF(VendasSem1[Id da Venda],VendasSem1[[#This Row],[Id da Venda]],VendasSem1[Total])),0)</f>
        <v/>
      </c>
    </row>
    <row r="9" spans="2:13" x14ac:dyDescent="0.25">
      <c r="B9">
        <v>15</v>
      </c>
      <c r="C9" s="7">
        <v>45178</v>
      </c>
      <c r="D9" t="s">
        <v>44</v>
      </c>
      <c r="E9" t="str">
        <f>IFERROR(VLOOKUP(VendasSem1[[#This Row],[Produto]],cálculos!$I$3:$L$50,4,0),"")</f>
        <v>Pacote</v>
      </c>
      <c r="F9">
        <v>1</v>
      </c>
      <c r="G9" s="6">
        <f>IFERROR(VLOOKUP(VendasSem1[[#This Row],[Produto]],cálculos!$I$3:$L$50,3,0),0)</f>
        <v>1.1499999999999999</v>
      </c>
      <c r="H9" s="6">
        <f>IFERROR(VendasSem1[[#This Row],[Quantidade]]*VendasSem1[[#This Row],[Preço Unitário]],0)</f>
        <v>1.1499999999999999</v>
      </c>
      <c r="I9" s="11"/>
      <c r="J9" t="s">
        <v>109</v>
      </c>
      <c r="K9" s="6">
        <f>IFERROR(IF(VendasSem1[[#This Row],[Id da Venda]]=B10,0,VLOOKUP(VendasSem1[[#This Row],[Região de Entrega]],cálculos!$B$5:$C$9,2,0)),0)</f>
        <v>0</v>
      </c>
      <c r="L9" s="6">
        <f>(VendasSem1[[#This Row],[Subtotal]]*(1-VendasSem1[[#This Row],[Desconto]])+VendasSem1[[#This Row],[Valor de Entrega]])</f>
        <v>1.1499999999999999</v>
      </c>
      <c r="M9" s="6">
        <f>IFERROR(IF(VendasSem1[[#This Row],[Id da Venda]]=B10,"",SUMIF(VendasSem1[Id da Venda],VendasSem1[[#This Row],[Id da Venda]],VendasSem1[Total])),0)</f>
        <v>40.89</v>
      </c>
    </row>
    <row r="10" spans="2:13" x14ac:dyDescent="0.25">
      <c r="B10">
        <v>14</v>
      </c>
      <c r="C10" s="7">
        <v>45178</v>
      </c>
      <c r="D10" t="s">
        <v>32</v>
      </c>
      <c r="E10" t="str">
        <f>IFERROR(VLOOKUP(VendasSem1[[#This Row],[Produto]],cálculos!$I$3:$L$50,4,0),"")</f>
        <v>Kg</v>
      </c>
      <c r="F10">
        <v>10</v>
      </c>
      <c r="G10" s="6">
        <f>IFERROR(VLOOKUP(VendasSem1[[#This Row],[Produto]],cálculos!$I$3:$L$50,3,0),0)</f>
        <v>2.4900000000000002</v>
      </c>
      <c r="H10" s="6">
        <f>IFERROR(VendasSem1[[#This Row],[Quantidade]]*VendasSem1[[#This Row],[Preço Unitário]],0)</f>
        <v>24.900000000000002</v>
      </c>
      <c r="I10" s="34"/>
      <c r="J10" t="s">
        <v>108</v>
      </c>
      <c r="K10" s="6">
        <f>IFERROR(IF(VendasSem1[[#This Row],[Id da Venda]]=B11,0,VLOOKUP(VendasSem1[[#This Row],[Região de Entrega]],cálculos!$B$5:$C$9,2,0)),0)</f>
        <v>0</v>
      </c>
      <c r="L10" s="6">
        <f>(VendasSem1[[#This Row],[Subtotal]]*(1-VendasSem1[[#This Row],[Desconto]])+VendasSem1[[#This Row],[Valor de Entrega]])</f>
        <v>24.900000000000002</v>
      </c>
      <c r="M10" s="6" t="str">
        <f>IFERROR(IF(VendasSem1[[#This Row],[Id da Venda]]=B11,"",SUMIF(VendasSem1[Id da Venda],VendasSem1[[#This Row],[Id da Venda]],VendasSem1[Total])),0)</f>
        <v/>
      </c>
    </row>
    <row r="11" spans="2:13" x14ac:dyDescent="0.25">
      <c r="B11">
        <v>14</v>
      </c>
      <c r="C11" s="7">
        <v>45178</v>
      </c>
      <c r="D11" t="s">
        <v>66</v>
      </c>
      <c r="E11" t="str">
        <f>IFERROR(VLOOKUP(VendasSem1[[#This Row],[Produto]],cálculos!$I$3:$L$50,4,0),"")</f>
        <v>Litro</v>
      </c>
      <c r="F11">
        <v>5</v>
      </c>
      <c r="G11" s="6">
        <f>IFERROR(VLOOKUP(VendasSem1[[#This Row],[Produto]],cálculos!$I$3:$L$50,3,0),0)</f>
        <v>1.49</v>
      </c>
      <c r="H11" s="6">
        <f>IFERROR(VendasSem1[[#This Row],[Quantidade]]*VendasSem1[[#This Row],[Preço Unitário]],0)</f>
        <v>7.45</v>
      </c>
      <c r="I11" s="34"/>
      <c r="J11" t="s">
        <v>108</v>
      </c>
      <c r="K11" s="6">
        <f>IFERROR(IF(VendasSem1[[#This Row],[Id da Venda]]=B12,0,VLOOKUP(VendasSem1[[#This Row],[Região de Entrega]],cálculos!$B$5:$C$9,2,0)),0)</f>
        <v>10</v>
      </c>
      <c r="L11" s="6">
        <f>(VendasSem1[[#This Row],[Subtotal]]*(1-VendasSem1[[#This Row],[Desconto]])+VendasSem1[[#This Row],[Valor de Entrega]])</f>
        <v>17.45</v>
      </c>
      <c r="M11" s="6">
        <f>IFERROR(IF(VendasSem1[[#This Row],[Id da Venda]]=B12,"",SUMIF(VendasSem1[Id da Venda],VendasSem1[[#This Row],[Id da Venda]],VendasSem1[Total])),0)</f>
        <v>42.35</v>
      </c>
    </row>
    <row r="12" spans="2:13" x14ac:dyDescent="0.25">
      <c r="B12">
        <v>13</v>
      </c>
      <c r="C12" s="7">
        <v>45178</v>
      </c>
      <c r="D12" t="s">
        <v>47</v>
      </c>
      <c r="E12" t="str">
        <f>IFERROR(VLOOKUP(VendasSem1[[#This Row],[Produto]],cálculos!$I$3:$L$50,4,0),"")</f>
        <v>Unidade</v>
      </c>
      <c r="F12">
        <v>3</v>
      </c>
      <c r="G12" s="6">
        <f>IFERROR(VLOOKUP(VendasSem1[[#This Row],[Produto]],cálculos!$I$3:$L$50,3,0),0)</f>
        <v>2.6</v>
      </c>
      <c r="H12" s="6">
        <f>IFERROR(VendasSem1[[#This Row],[Quantidade]]*VendasSem1[[#This Row],[Preço Unitário]],0)</f>
        <v>7.8000000000000007</v>
      </c>
      <c r="I12" s="34"/>
      <c r="J12" t="s">
        <v>109</v>
      </c>
      <c r="K12" s="6">
        <f>IFERROR(IF(VendasSem1[[#This Row],[Id da Venda]]=B13,0,VLOOKUP(VendasSem1[[#This Row],[Região de Entrega]],cálculos!$B$5:$C$9,2,0)),0)</f>
        <v>0</v>
      </c>
      <c r="L12" s="6">
        <f>(VendasSem1[[#This Row],[Subtotal]]*(1-VendasSem1[[#This Row],[Desconto]])+VendasSem1[[#This Row],[Valor de Entrega]])</f>
        <v>7.8000000000000007</v>
      </c>
      <c r="M12" s="6">
        <f>IFERROR(IF(VendasSem1[[#This Row],[Id da Venda]]=B13,"",SUMIF(VendasSem1[Id da Venda],VendasSem1[[#This Row],[Id da Venda]],VendasSem1[Total])),0)</f>
        <v>7.8000000000000007</v>
      </c>
    </row>
    <row r="13" spans="2:13" x14ac:dyDescent="0.25">
      <c r="B13">
        <v>12</v>
      </c>
      <c r="C13" s="7">
        <v>45177</v>
      </c>
      <c r="D13" t="s">
        <v>40</v>
      </c>
      <c r="E13" t="str">
        <f>IFERROR(VLOOKUP(VendasSem1[[#This Row],[Produto]],cálculos!$I$3:$L$50,4,0),"")</f>
        <v>Garrafa</v>
      </c>
      <c r="F13">
        <v>7</v>
      </c>
      <c r="G13" s="6">
        <f>IFERROR(VLOOKUP(VendasSem1[[#This Row],[Produto]],cálculos!$I$3:$L$50,3,0),0)</f>
        <v>29.9</v>
      </c>
      <c r="H13" s="6">
        <f>IFERROR(VendasSem1[[#This Row],[Quantidade]]*VendasSem1[[#This Row],[Preço Unitário]],0)</f>
        <v>209.29999999999998</v>
      </c>
      <c r="I13" s="11"/>
      <c r="J13" t="s">
        <v>112</v>
      </c>
      <c r="K13" s="6">
        <f>IFERROR(IF(VendasSem1[[#This Row],[Id da Venda]]=B14,0,VLOOKUP(VendasSem1[[#This Row],[Região de Entrega]],cálculos!$B$5:$C$9,2,0)),0)</f>
        <v>0</v>
      </c>
      <c r="L13" s="6">
        <f>(VendasSem1[[#This Row],[Subtotal]]*(1-VendasSem1[[#This Row],[Desconto]])+VendasSem1[[#This Row],[Valor de Entrega]])</f>
        <v>209.29999999999998</v>
      </c>
      <c r="M13" s="6" t="str">
        <f>IFERROR(IF(VendasSem1[[#This Row],[Id da Venda]]=B14,"",SUMIF(VendasSem1[Id da Venda],VendasSem1[[#This Row],[Id da Venda]],VendasSem1[Total])),0)</f>
        <v/>
      </c>
    </row>
    <row r="14" spans="2:13" x14ac:dyDescent="0.25">
      <c r="B14">
        <v>12</v>
      </c>
      <c r="C14" s="7">
        <v>45177</v>
      </c>
      <c r="D14" t="s">
        <v>46</v>
      </c>
      <c r="E14" t="str">
        <f>IFERROR(VLOOKUP(VendasSem1[[#This Row],[Produto]],cálculos!$I$3:$L$50,4,0),"")</f>
        <v>Garrafa</v>
      </c>
      <c r="F14">
        <v>4</v>
      </c>
      <c r="G14" s="6">
        <f>IFERROR(VLOOKUP(VendasSem1[[#This Row],[Produto]],cálculos!$I$3:$L$50,3,0),0)</f>
        <v>54.9</v>
      </c>
      <c r="H14" s="6">
        <f>IFERROR(VendasSem1[[#This Row],[Quantidade]]*VendasSem1[[#This Row],[Preço Unitário]],0)</f>
        <v>219.6</v>
      </c>
      <c r="I14" s="11"/>
      <c r="J14" t="s">
        <v>112</v>
      </c>
      <c r="K14" s="6">
        <f>IFERROR(IF(VendasSem1[[#This Row],[Id da Venda]]=B15,0,VLOOKUP(VendasSem1[[#This Row],[Região de Entrega]],cálculos!$B$5:$C$9,2,0)),0)</f>
        <v>0</v>
      </c>
      <c r="L14" s="6">
        <f>(VendasSem1[[#This Row],[Subtotal]]*(1-VendasSem1[[#This Row],[Desconto]])+VendasSem1[[#This Row],[Valor de Entrega]])</f>
        <v>219.6</v>
      </c>
      <c r="M14" s="6" t="str">
        <f>IFERROR(IF(VendasSem1[[#This Row],[Id da Venda]]=B15,"",SUMIF(VendasSem1[Id da Venda],VendasSem1[[#This Row],[Id da Venda]],VendasSem1[Total])),0)</f>
        <v/>
      </c>
    </row>
    <row r="15" spans="2:13" x14ac:dyDescent="0.25">
      <c r="B15">
        <v>12</v>
      </c>
      <c r="C15" s="7">
        <v>45177</v>
      </c>
      <c r="D15" t="s">
        <v>72</v>
      </c>
      <c r="E15" t="str">
        <f>IFERROR(VLOOKUP(VendasSem1[[#This Row],[Produto]],cálculos!$I$3:$L$50,4,0),"")</f>
        <v>Litro</v>
      </c>
      <c r="F15">
        <v>12</v>
      </c>
      <c r="G15" s="6">
        <f>IFERROR(VLOOKUP(VendasSem1[[#This Row],[Produto]],cálculos!$I$3:$L$50,3,0),0)</f>
        <v>2.39</v>
      </c>
      <c r="H15" s="6">
        <f>IFERROR(VendasSem1[[#This Row],[Quantidade]]*VendasSem1[[#This Row],[Preço Unitário]],0)</f>
        <v>28.68</v>
      </c>
      <c r="I15" s="11"/>
      <c r="J15" t="s">
        <v>112</v>
      </c>
      <c r="K15" s="6">
        <f>IFERROR(IF(VendasSem1[[#This Row],[Id da Venda]]=B16,0,VLOOKUP(VendasSem1[[#This Row],[Região de Entrega]],cálculos!$B$5:$C$9,2,0)),0)</f>
        <v>0</v>
      </c>
      <c r="L15" s="6">
        <f>(VendasSem1[[#This Row],[Subtotal]]*(1-VendasSem1[[#This Row],[Desconto]])+VendasSem1[[#This Row],[Valor de Entrega]])</f>
        <v>28.68</v>
      </c>
      <c r="M15" s="6" t="str">
        <f>IFERROR(IF(VendasSem1[[#This Row],[Id da Venda]]=B16,"",SUMIF(VendasSem1[Id da Venda],VendasSem1[[#This Row],[Id da Venda]],VendasSem1[Total])),0)</f>
        <v/>
      </c>
    </row>
    <row r="16" spans="2:13" x14ac:dyDescent="0.25">
      <c r="B16">
        <v>12</v>
      </c>
      <c r="C16" s="7">
        <v>45177</v>
      </c>
      <c r="D16" t="s">
        <v>57</v>
      </c>
      <c r="E16" t="str">
        <f>IFERROR(VLOOKUP(VendasSem1[[#This Row],[Produto]],cálculos!$I$3:$L$50,4,0),"")</f>
        <v>Barra</v>
      </c>
      <c r="F16">
        <v>15</v>
      </c>
      <c r="G16" s="6">
        <f>IFERROR(VLOOKUP(VendasSem1[[#This Row],[Produto]],cálculos!$I$3:$L$50,3,0),0)</f>
        <v>4.99</v>
      </c>
      <c r="H16" s="6">
        <f>IFERROR(VendasSem1[[#This Row],[Quantidade]]*VendasSem1[[#This Row],[Preço Unitário]],0)</f>
        <v>74.850000000000009</v>
      </c>
      <c r="I16" s="11"/>
      <c r="J16" t="s">
        <v>112</v>
      </c>
      <c r="K16" s="6">
        <f>IFERROR(IF(VendasSem1[[#This Row],[Id da Venda]]=B17,0,VLOOKUP(VendasSem1[[#This Row],[Região de Entrega]],cálculos!$B$5:$C$9,2,0)),0)</f>
        <v>0</v>
      </c>
      <c r="L16" s="6">
        <f>(VendasSem1[[#This Row],[Subtotal]]*(1-VendasSem1[[#This Row],[Desconto]])+VendasSem1[[#This Row],[Valor de Entrega]])</f>
        <v>74.850000000000009</v>
      </c>
      <c r="M16" s="6" t="str">
        <f>IFERROR(IF(VendasSem1[[#This Row],[Id da Venda]]=B17,"",SUMIF(VendasSem1[Id da Venda],VendasSem1[[#This Row],[Id da Venda]],VendasSem1[Total])),0)</f>
        <v/>
      </c>
    </row>
    <row r="17" spans="2:13" x14ac:dyDescent="0.25">
      <c r="B17">
        <v>12</v>
      </c>
      <c r="C17" s="7">
        <v>45177</v>
      </c>
      <c r="D17" t="s">
        <v>45</v>
      </c>
      <c r="E17" t="str">
        <f>IFERROR(VLOOKUP(VendasSem1[[#This Row],[Produto]],cálculos!$I$3:$L$50,4,0),"")</f>
        <v>Lata</v>
      </c>
      <c r="F17">
        <v>100</v>
      </c>
      <c r="G17" s="6">
        <f>IFERROR(VLOOKUP(VendasSem1[[#This Row],[Produto]],cálculos!$I$3:$L$50,3,0),0)</f>
        <v>2.19</v>
      </c>
      <c r="H17" s="6">
        <f>IFERROR(VendasSem1[[#This Row],[Quantidade]]*VendasSem1[[#This Row],[Preço Unitário]],0)</f>
        <v>219</v>
      </c>
      <c r="I17" s="11">
        <v>0.05</v>
      </c>
      <c r="J17" t="s">
        <v>112</v>
      </c>
      <c r="K17" s="6">
        <f>IFERROR(IF(VendasSem1[[#This Row],[Id da Venda]]=B18,0,VLOOKUP(VendasSem1[[#This Row],[Região de Entrega]],cálculos!$B$5:$C$9,2,0)),0)</f>
        <v>0</v>
      </c>
      <c r="L17" s="6">
        <f>(VendasSem1[[#This Row],[Subtotal]]*(1-VendasSem1[[#This Row],[Desconto]])+VendasSem1[[#This Row],[Valor de Entrega]])</f>
        <v>208.04999999999998</v>
      </c>
      <c r="M17" s="6" t="str">
        <f>IFERROR(IF(VendasSem1[[#This Row],[Id da Venda]]=B18,"",SUMIF(VendasSem1[Id da Venda],VendasSem1[[#This Row],[Id da Venda]],VendasSem1[Total])),0)</f>
        <v/>
      </c>
    </row>
    <row r="18" spans="2:13" x14ac:dyDescent="0.25">
      <c r="B18">
        <v>12</v>
      </c>
      <c r="C18" s="7">
        <v>45177</v>
      </c>
      <c r="D18" t="s">
        <v>36</v>
      </c>
      <c r="E18" t="str">
        <f>IFERROR(VLOOKUP(VendasSem1[[#This Row],[Produto]],cálculos!$I$3:$L$50,4,0),"")</f>
        <v>Kg</v>
      </c>
      <c r="F18">
        <v>15</v>
      </c>
      <c r="G18" s="6">
        <f>IFERROR(VLOOKUP(VendasSem1[[#This Row],[Produto]],cálculos!$I$3:$L$50,3,0),0)</f>
        <v>15.9</v>
      </c>
      <c r="H18" s="6">
        <f>IFERROR(VendasSem1[[#This Row],[Quantidade]]*VendasSem1[[#This Row],[Preço Unitário]],0)</f>
        <v>238.5</v>
      </c>
      <c r="I18" s="11"/>
      <c r="J18" t="s">
        <v>112</v>
      </c>
      <c r="K18" s="6">
        <f>IFERROR(IF(VendasSem1[[#This Row],[Id da Venda]]=B19,0,VLOOKUP(VendasSem1[[#This Row],[Região de Entrega]],cálculos!$B$5:$C$9,2,0)),0)</f>
        <v>7</v>
      </c>
      <c r="L18" s="6">
        <f>(VendasSem1[[#This Row],[Subtotal]]*(1-VendasSem1[[#This Row],[Desconto]])+VendasSem1[[#This Row],[Valor de Entrega]])</f>
        <v>245.5</v>
      </c>
      <c r="M18" s="6">
        <f>IFERROR(IF(VendasSem1[[#This Row],[Id da Venda]]=B19,"",SUMIF(VendasSem1[Id da Venda],VendasSem1[[#This Row],[Id da Venda]],VendasSem1[Total])),0)</f>
        <v>985.9799999999999</v>
      </c>
    </row>
    <row r="19" spans="2:13" x14ac:dyDescent="0.25">
      <c r="B19">
        <v>11</v>
      </c>
      <c r="C19" s="7">
        <v>45177</v>
      </c>
      <c r="D19" t="s">
        <v>34</v>
      </c>
      <c r="E19" t="str">
        <f>IFERROR(VLOOKUP(VendasSem1[[#This Row],[Produto]],cálculos!$I$3:$L$50,4,0),"")</f>
        <v>Kg</v>
      </c>
      <c r="F19">
        <v>12</v>
      </c>
      <c r="G19" s="6">
        <f>IFERROR(VLOOKUP(VendasSem1[[#This Row],[Produto]],cálculos!$I$3:$L$50,3,0),0)</f>
        <v>5.82</v>
      </c>
      <c r="H19" s="6">
        <f>IFERROR(VendasSem1[[#This Row],[Quantidade]]*VendasSem1[[#This Row],[Preço Unitário]],0)</f>
        <v>69.84</v>
      </c>
      <c r="I19" s="34"/>
      <c r="J19" t="s">
        <v>109</v>
      </c>
      <c r="K19" s="6">
        <f>IFERROR(IF(VendasSem1[[#This Row],[Id da Venda]]=B20,0,VLOOKUP(VendasSem1[[#This Row],[Região de Entrega]],cálculos!$B$5:$C$9,2,0)),0)</f>
        <v>0</v>
      </c>
      <c r="L19" s="6">
        <f>(VendasSem1[[#This Row],[Subtotal]]*(1-VendasSem1[[#This Row],[Desconto]])+VendasSem1[[#This Row],[Valor de Entrega]])</f>
        <v>69.84</v>
      </c>
      <c r="M19" s="6">
        <f>IFERROR(IF(VendasSem1[[#This Row],[Id da Venda]]=B20,"",SUMIF(VendasSem1[Id da Venda],VendasSem1[[#This Row],[Id da Venda]],VendasSem1[Total])),0)</f>
        <v>69.84</v>
      </c>
    </row>
    <row r="20" spans="2:13" x14ac:dyDescent="0.25">
      <c r="B20">
        <v>10</v>
      </c>
      <c r="C20" s="7">
        <v>45176</v>
      </c>
      <c r="D20" t="s">
        <v>40</v>
      </c>
      <c r="E20" t="str">
        <f>IFERROR(VLOOKUP(VendasSem1[[#This Row],[Produto]],cálculos!$I$3:$L$50,4,0),"")</f>
        <v>Garrafa</v>
      </c>
      <c r="F20">
        <v>30</v>
      </c>
      <c r="G20" s="6">
        <f>IFERROR(VLOOKUP(VendasSem1[[#This Row],[Produto]],cálculos!$I$3:$L$50,3,0),0)</f>
        <v>29.9</v>
      </c>
      <c r="H20" s="6">
        <f>IFERROR(VendasSem1[[#This Row],[Quantidade]]*VendasSem1[[#This Row],[Preço Unitário]],0)</f>
        <v>897</v>
      </c>
      <c r="I20" s="11">
        <v>0.05</v>
      </c>
      <c r="J20" t="s">
        <v>110</v>
      </c>
      <c r="K20" s="6">
        <f>IFERROR(IF(VendasSem1[[#This Row],[Id da Venda]]=B21,0,VLOOKUP(VendasSem1[[#This Row],[Região de Entrega]],cálculos!$B$5:$C$9,2,0)),0)</f>
        <v>0</v>
      </c>
      <c r="L20" s="6">
        <f>(VendasSem1[[#This Row],[Subtotal]]*(1-VendasSem1[[#This Row],[Desconto]])+VendasSem1[[#This Row],[Valor de Entrega]])</f>
        <v>852.15</v>
      </c>
      <c r="M20" s="6" t="str">
        <f>IFERROR(IF(VendasSem1[[#This Row],[Id da Venda]]=B21,"",SUMIF(VendasSem1[Id da Venda],VendasSem1[[#This Row],[Id da Venda]],VendasSem1[Total])),0)</f>
        <v/>
      </c>
    </row>
    <row r="21" spans="2:13" x14ac:dyDescent="0.25">
      <c r="B21">
        <v>10</v>
      </c>
      <c r="C21" s="7">
        <v>45176</v>
      </c>
      <c r="D21" t="s">
        <v>58</v>
      </c>
      <c r="E21" t="str">
        <f>IFERROR(VLOOKUP(VendasSem1[[#This Row],[Produto]],cálculos!$I$3:$L$50,4,0),"")</f>
        <v>Maço</v>
      </c>
      <c r="F21">
        <v>13</v>
      </c>
      <c r="G21" s="6">
        <f>IFERROR(VLOOKUP(VendasSem1[[#This Row],[Produto]],cálculos!$I$3:$L$50,3,0),0)</f>
        <v>6.75</v>
      </c>
      <c r="H21" s="6">
        <f>IFERROR(VendasSem1[[#This Row],[Quantidade]]*VendasSem1[[#This Row],[Preço Unitário]],0)</f>
        <v>87.75</v>
      </c>
      <c r="I21" s="11"/>
      <c r="J21" t="s">
        <v>110</v>
      </c>
      <c r="K21" s="6">
        <f>IFERROR(IF(VendasSem1[[#This Row],[Id da Venda]]=B22,0,VLOOKUP(VendasSem1[[#This Row],[Região de Entrega]],cálculos!$B$5:$C$9,2,0)),0)</f>
        <v>12.8</v>
      </c>
      <c r="L21" s="6">
        <f>(VendasSem1[[#This Row],[Subtotal]]*(1-VendasSem1[[#This Row],[Desconto]])+VendasSem1[[#This Row],[Valor de Entrega]])</f>
        <v>100.55</v>
      </c>
      <c r="M21" s="6">
        <f>IFERROR(IF(VendasSem1[[#This Row],[Id da Venda]]=B22,"",SUMIF(VendasSem1[Id da Venda],VendasSem1[[#This Row],[Id da Venda]],VendasSem1[Total])),0)</f>
        <v>952.69999999999993</v>
      </c>
    </row>
    <row r="22" spans="2:13" x14ac:dyDescent="0.25">
      <c r="B22">
        <v>9</v>
      </c>
      <c r="C22" s="7">
        <v>45176</v>
      </c>
      <c r="D22" t="s">
        <v>35</v>
      </c>
      <c r="E22" t="str">
        <f>IFERROR(VLOOKUP(VendasSem1[[#This Row],[Produto]],cálculos!$I$3:$L$50,4,0),"")</f>
        <v>Unidade</v>
      </c>
      <c r="F22">
        <v>3</v>
      </c>
      <c r="G22" s="6">
        <f>IFERROR(VLOOKUP(VendasSem1[[#This Row],[Produto]],cálculos!$I$3:$L$50,3,0),0)</f>
        <v>2.99</v>
      </c>
      <c r="H22" s="6">
        <f>IFERROR(VendasSem1[[#This Row],[Quantidade]]*VendasSem1[[#This Row],[Preço Unitário]],0)</f>
        <v>8.9700000000000006</v>
      </c>
      <c r="I22" s="11"/>
      <c r="J22" t="s">
        <v>110</v>
      </c>
      <c r="K22" s="6">
        <f>IFERROR(IF(VendasSem1[[#This Row],[Id da Venda]]=B23,0,VLOOKUP(VendasSem1[[#This Row],[Região de Entrega]],cálculos!$B$5:$C$9,2,0)),0)</f>
        <v>0</v>
      </c>
      <c r="L22" s="6">
        <f>(VendasSem1[[#This Row],[Subtotal]]*(1-VendasSem1[[#This Row],[Desconto]])+VendasSem1[[#This Row],[Valor de Entrega]])</f>
        <v>8.9700000000000006</v>
      </c>
      <c r="M22" s="6" t="str">
        <f>IFERROR(IF(VendasSem1[[#This Row],[Id da Venda]]=B23,"",SUMIF(VendasSem1[Id da Venda],VendasSem1[[#This Row],[Id da Venda]],VendasSem1[Total])),0)</f>
        <v/>
      </c>
    </row>
    <row r="23" spans="2:13" x14ac:dyDescent="0.25">
      <c r="B23">
        <v>9</v>
      </c>
      <c r="C23" s="7">
        <v>45176</v>
      </c>
      <c r="D23" t="s">
        <v>44</v>
      </c>
      <c r="E23" t="str">
        <f>IFERROR(VLOOKUP(VendasSem1[[#This Row],[Produto]],cálculos!$I$3:$L$50,4,0),"")</f>
        <v>Pacote</v>
      </c>
      <c r="F23">
        <v>2</v>
      </c>
      <c r="G23" s="6">
        <f>IFERROR(VLOOKUP(VendasSem1[[#This Row],[Produto]],cálculos!$I$3:$L$50,3,0),0)</f>
        <v>1.1499999999999999</v>
      </c>
      <c r="H23" s="6">
        <f>IFERROR(VendasSem1[[#This Row],[Quantidade]]*VendasSem1[[#This Row],[Preço Unitário]],0)</f>
        <v>2.2999999999999998</v>
      </c>
      <c r="I23" s="11"/>
      <c r="J23" t="s">
        <v>110</v>
      </c>
      <c r="K23" s="6">
        <f>IFERROR(IF(VendasSem1[[#This Row],[Id da Venda]]=B24,0,VLOOKUP(VendasSem1[[#This Row],[Região de Entrega]],cálculos!$B$5:$C$9,2,0)),0)</f>
        <v>12.8</v>
      </c>
      <c r="L23" s="6">
        <f>(VendasSem1[[#This Row],[Subtotal]]*(1-VendasSem1[[#This Row],[Desconto]])+VendasSem1[[#This Row],[Valor de Entrega]])</f>
        <v>15.100000000000001</v>
      </c>
      <c r="M23" s="6">
        <f>IFERROR(IF(VendasSem1[[#This Row],[Id da Venda]]=B24,"",SUMIF(VendasSem1[Id da Venda],VendasSem1[[#This Row],[Id da Venda]],VendasSem1[Total])),0)</f>
        <v>24.07</v>
      </c>
    </row>
    <row r="24" spans="2:13" x14ac:dyDescent="0.25">
      <c r="B24">
        <v>8</v>
      </c>
      <c r="C24" s="7">
        <v>45176</v>
      </c>
      <c r="D24" t="s">
        <v>58</v>
      </c>
      <c r="E24" t="str">
        <f>IFERROR(VLOOKUP(VendasSem1[[#This Row],[Produto]],cálculos!$I$3:$L$50,4,0),"")</f>
        <v>Maço</v>
      </c>
      <c r="F24">
        <v>10</v>
      </c>
      <c r="G24" s="6">
        <f>IFERROR(VLOOKUP(VendasSem1[[#This Row],[Produto]],cálculos!$I$3:$L$50,3,0),0)</f>
        <v>6.75</v>
      </c>
      <c r="H24" s="6">
        <f>IFERROR(VendasSem1[[#This Row],[Quantidade]]*VendasSem1[[#This Row],[Preço Unitário]],0)</f>
        <v>67.5</v>
      </c>
      <c r="I24" s="34"/>
      <c r="J24" t="s">
        <v>109</v>
      </c>
      <c r="K24" s="6">
        <f>IFERROR(IF(VendasSem1[[#This Row],[Id da Venda]]=B25,0,VLOOKUP(VendasSem1[[#This Row],[Região de Entrega]],cálculos!$B$5:$C$9,2,0)),0)</f>
        <v>0</v>
      </c>
      <c r="L24" s="6">
        <f>(VendasSem1[[#This Row],[Subtotal]]*(1-VendasSem1[[#This Row],[Desconto]])+VendasSem1[[#This Row],[Valor de Entrega]])</f>
        <v>67.5</v>
      </c>
      <c r="M24" s="6">
        <f>IFERROR(IF(VendasSem1[[#This Row],[Id da Venda]]=B25,"",SUMIF(VendasSem1[Id da Venda],VendasSem1[[#This Row],[Id da Venda]],VendasSem1[Total])),0)</f>
        <v>67.5</v>
      </c>
    </row>
    <row r="25" spans="2:13" x14ac:dyDescent="0.25">
      <c r="B25">
        <v>7</v>
      </c>
      <c r="C25" s="7">
        <v>45175</v>
      </c>
      <c r="D25" t="s">
        <v>37</v>
      </c>
      <c r="E25" t="str">
        <f>IFERROR(VLOOKUP(VendasSem1[[#This Row],[Produto]],cálculos!$I$3:$L$50,4,0),"")</f>
        <v>Kg</v>
      </c>
      <c r="F25">
        <v>4</v>
      </c>
      <c r="G25" s="6">
        <f>IFERROR(VLOOKUP(VendasSem1[[#This Row],[Produto]],cálculos!$I$3:$L$50,3,0),0)</f>
        <v>6.98</v>
      </c>
      <c r="H25" s="6">
        <f>IFERROR(VendasSem1[[#This Row],[Quantidade]]*VendasSem1[[#This Row],[Preço Unitário]],0)</f>
        <v>27.92</v>
      </c>
      <c r="I25" s="11"/>
      <c r="J25" t="s">
        <v>109</v>
      </c>
      <c r="K25" s="6">
        <f>IFERROR(IF(VendasSem1[[#This Row],[Id da Venda]]=B26,0,VLOOKUP(VendasSem1[[#This Row],[Região de Entrega]],cálculos!$B$5:$C$9,2,0)),0)</f>
        <v>0</v>
      </c>
      <c r="L25" s="6">
        <f>(VendasSem1[[#This Row],[Subtotal]]*(1-VendasSem1[[#This Row],[Desconto]])+VendasSem1[[#This Row],[Valor de Entrega]])</f>
        <v>27.92</v>
      </c>
      <c r="M25" s="6">
        <f>IFERROR(IF(VendasSem1[[#This Row],[Id da Venda]]=B26,"",SUMIF(VendasSem1[Id da Venda],VendasSem1[[#This Row],[Id da Venda]],VendasSem1[Total])),0)</f>
        <v>27.92</v>
      </c>
    </row>
    <row r="26" spans="2:13" x14ac:dyDescent="0.25">
      <c r="B26">
        <v>6</v>
      </c>
      <c r="C26" s="7">
        <v>45175</v>
      </c>
      <c r="D26" t="s">
        <v>58</v>
      </c>
      <c r="E26" t="str">
        <f>IFERROR(VLOOKUP(VendasSem1[[#This Row],[Produto]],cálculos!$I$3:$L$50,4,0),"")</f>
        <v>Maço</v>
      </c>
      <c r="F26">
        <v>2</v>
      </c>
      <c r="G26" s="6">
        <f>IFERROR(VLOOKUP(VendasSem1[[#This Row],[Produto]],cálculos!$I$3:$L$50,3,0),0)</f>
        <v>6.75</v>
      </c>
      <c r="H26" s="6">
        <f>IFERROR(VendasSem1[[#This Row],[Quantidade]]*VendasSem1[[#This Row],[Preço Unitário]],0)</f>
        <v>13.5</v>
      </c>
      <c r="I26" s="11"/>
      <c r="J26" t="s">
        <v>109</v>
      </c>
      <c r="K26" s="6">
        <f>IFERROR(IF(VendasSem1[[#This Row],[Id da Venda]]=B27,0,VLOOKUP(VendasSem1[[#This Row],[Região de Entrega]],cálculos!$B$5:$C$9,2,0)),0)</f>
        <v>0</v>
      </c>
      <c r="L26" s="6">
        <f>(VendasSem1[[#This Row],[Subtotal]]*(1-VendasSem1[[#This Row],[Desconto]])+VendasSem1[[#This Row],[Valor de Entrega]])</f>
        <v>13.5</v>
      </c>
      <c r="M26" s="6">
        <f>IFERROR(IF(VendasSem1[[#This Row],[Id da Venda]]=B27,"",SUMIF(VendasSem1[Id da Venda],VendasSem1[[#This Row],[Id da Venda]],VendasSem1[Total])),0)</f>
        <v>13.5</v>
      </c>
    </row>
    <row r="27" spans="2:13" x14ac:dyDescent="0.25">
      <c r="B27">
        <v>5</v>
      </c>
      <c r="C27" s="7">
        <v>45174</v>
      </c>
      <c r="D27" t="s">
        <v>42</v>
      </c>
      <c r="E27" t="str">
        <f>IFERROR(VLOOKUP(VendasSem1[[#This Row],[Produto]],cálculos!$I$3:$L$50,4,0),"")</f>
        <v>Kg</v>
      </c>
      <c r="F27">
        <v>3</v>
      </c>
      <c r="G27" s="6">
        <f>IFERROR(VLOOKUP(VendasSem1[[#This Row],[Produto]],cálculos!$I$3:$L$50,3,0),0)</f>
        <v>3.99</v>
      </c>
      <c r="H27" s="6">
        <f>IFERROR(VendasSem1[[#This Row],[Quantidade]]*VendasSem1[[#This Row],[Preço Unitário]],0)</f>
        <v>11.97</v>
      </c>
      <c r="I27" s="11"/>
      <c r="J27" t="s">
        <v>111</v>
      </c>
      <c r="K27" s="6">
        <f>IFERROR(IF(VendasSem1[[#This Row],[Id da Venda]]=B28,0,VLOOKUP(VendasSem1[[#This Row],[Região de Entrega]],cálculos!$B$5:$C$9,2,0)),0)</f>
        <v>0</v>
      </c>
      <c r="L27" s="6">
        <f>(VendasSem1[[#This Row],[Subtotal]]*(1-VendasSem1[[#This Row],[Desconto]])+VendasSem1[[#This Row],[Valor de Entrega]])</f>
        <v>11.97</v>
      </c>
      <c r="M27" s="6" t="str">
        <f>IFERROR(IF(VendasSem1[[#This Row],[Id da Venda]]=B28,"",SUMIF(VendasSem1[Id da Venda],VendasSem1[[#This Row],[Id da Venda]],VendasSem1[Total])),0)</f>
        <v/>
      </c>
    </row>
    <row r="28" spans="2:13" x14ac:dyDescent="0.25">
      <c r="B28">
        <v>5</v>
      </c>
      <c r="C28" s="7">
        <v>45174</v>
      </c>
      <c r="D28" t="s">
        <v>33</v>
      </c>
      <c r="E28" t="str">
        <f>IFERROR(VLOOKUP(VendasSem1[[#This Row],[Produto]],cálculos!$I$3:$L$50,4,0),"")</f>
        <v>Kg</v>
      </c>
      <c r="F28">
        <v>5</v>
      </c>
      <c r="G28" s="6">
        <f>IFERROR(VLOOKUP(VendasSem1[[#This Row],[Produto]],cálculos!$I$3:$L$50,3,0),0)</f>
        <v>4.28</v>
      </c>
      <c r="H28" s="6">
        <f>IFERROR(VendasSem1[[#This Row],[Quantidade]]*VendasSem1[[#This Row],[Preço Unitário]],0)</f>
        <v>21.400000000000002</v>
      </c>
      <c r="I28" s="11"/>
      <c r="J28" t="s">
        <v>111</v>
      </c>
      <c r="K28" s="6">
        <f>IFERROR(IF(VendasSem1[[#This Row],[Id da Venda]]=B29,0,VLOOKUP(VendasSem1[[#This Row],[Região de Entrega]],cálculos!$B$5:$C$9,2,0)),0)</f>
        <v>0</v>
      </c>
      <c r="L28" s="6">
        <f>(VendasSem1[[#This Row],[Subtotal]]*(1-VendasSem1[[#This Row],[Desconto]])+VendasSem1[[#This Row],[Valor de Entrega]])</f>
        <v>21.400000000000002</v>
      </c>
      <c r="M28" s="6" t="str">
        <f>IFERROR(IF(VendasSem1[[#This Row],[Id da Venda]]=B29,"",SUMIF(VendasSem1[Id da Venda],VendasSem1[[#This Row],[Id da Venda]],VendasSem1[Total])),0)</f>
        <v/>
      </c>
    </row>
    <row r="29" spans="2:13" x14ac:dyDescent="0.25">
      <c r="B29">
        <v>5</v>
      </c>
      <c r="C29" s="7">
        <v>45174</v>
      </c>
      <c r="D29" t="s">
        <v>32</v>
      </c>
      <c r="E29" t="str">
        <f>IFERROR(VLOOKUP(VendasSem1[[#This Row],[Produto]],cálculos!$I$3:$L$50,4,0),"")</f>
        <v>Kg</v>
      </c>
      <c r="F29">
        <v>10</v>
      </c>
      <c r="G29" s="6">
        <f>IFERROR(VLOOKUP(VendasSem1[[#This Row],[Produto]],cálculos!$I$3:$L$50,3,0),0)</f>
        <v>2.4900000000000002</v>
      </c>
      <c r="H29" s="6">
        <f>IFERROR(VendasSem1[[#This Row],[Quantidade]]*VendasSem1[[#This Row],[Preço Unitário]],0)</f>
        <v>24.900000000000002</v>
      </c>
      <c r="I29" s="11"/>
      <c r="J29" t="s">
        <v>111</v>
      </c>
      <c r="K29" s="6">
        <f>IFERROR(IF(VendasSem1[[#This Row],[Id da Venda]]=B30,0,VLOOKUP(VendasSem1[[#This Row],[Região de Entrega]],cálculos!$B$5:$C$9,2,0)),0)</f>
        <v>0</v>
      </c>
      <c r="L29" s="6">
        <f>(VendasSem1[[#This Row],[Subtotal]]*(1-VendasSem1[[#This Row],[Desconto]])+VendasSem1[[#This Row],[Valor de Entrega]])</f>
        <v>24.900000000000002</v>
      </c>
      <c r="M29" s="6" t="str">
        <f>IFERROR(IF(VendasSem1[[#This Row],[Id da Venda]]=B30,"",SUMIF(VendasSem1[Id da Venda],VendasSem1[[#This Row],[Id da Venda]],VendasSem1[Total])),0)</f>
        <v/>
      </c>
    </row>
    <row r="30" spans="2:13" x14ac:dyDescent="0.25">
      <c r="B30">
        <v>5</v>
      </c>
      <c r="C30" s="7">
        <v>45174</v>
      </c>
      <c r="D30" t="s">
        <v>56</v>
      </c>
      <c r="E30" t="str">
        <f>IFERROR(VLOOKUP(VendasSem1[[#This Row],[Produto]],cálculos!$I$3:$L$50,4,0),"")</f>
        <v>Pacote</v>
      </c>
      <c r="F30">
        <v>5</v>
      </c>
      <c r="G30" s="6">
        <f>IFERROR(VLOOKUP(VendasSem1[[#This Row],[Produto]],cálculos!$I$3:$L$50,3,0),0)</f>
        <v>1.99</v>
      </c>
      <c r="H30" s="6">
        <f>IFERROR(VendasSem1[[#This Row],[Quantidade]]*VendasSem1[[#This Row],[Preço Unitário]],0)</f>
        <v>9.9499999999999993</v>
      </c>
      <c r="I30" s="11"/>
      <c r="J30" t="s">
        <v>111</v>
      </c>
      <c r="K30" s="6">
        <f>IFERROR(IF(VendasSem1[[#This Row],[Id da Venda]]=B31,0,VLOOKUP(VendasSem1[[#This Row],[Região de Entrega]],cálculos!$B$5:$C$9,2,0)),0)</f>
        <v>15</v>
      </c>
      <c r="L30" s="6">
        <f>(VendasSem1[[#This Row],[Subtotal]]*(1-VendasSem1[[#This Row],[Desconto]])+VendasSem1[[#This Row],[Valor de Entrega]])</f>
        <v>24.95</v>
      </c>
      <c r="M30" s="6">
        <f>IFERROR(IF(VendasSem1[[#This Row],[Id da Venda]]=B31,"",SUMIF(VendasSem1[Id da Venda],VendasSem1[[#This Row],[Id da Venda]],VendasSem1[Total])),0)</f>
        <v>83.220000000000013</v>
      </c>
    </row>
    <row r="31" spans="2:13" x14ac:dyDescent="0.25">
      <c r="B31">
        <v>4</v>
      </c>
      <c r="C31" s="7">
        <v>45174</v>
      </c>
      <c r="D31" t="s">
        <v>36</v>
      </c>
      <c r="E31" t="str">
        <f>IFERROR(VLOOKUP(VendasSem1[[#This Row],[Produto]],cálculos!$I$3:$L$50,4,0),"")</f>
        <v>Kg</v>
      </c>
      <c r="F31">
        <v>6</v>
      </c>
      <c r="G31" s="6">
        <f>IFERROR(VLOOKUP(VendasSem1[[#This Row],[Produto]],cálculos!$I$3:$L$50,3,0),0)</f>
        <v>15.9</v>
      </c>
      <c r="H31" s="6">
        <f>IFERROR(VendasSem1[[#This Row],[Quantidade]]*VendasSem1[[#This Row],[Preço Unitário]],0)</f>
        <v>95.4</v>
      </c>
      <c r="I31" s="11"/>
      <c r="J31" t="s">
        <v>111</v>
      </c>
      <c r="K31" s="6">
        <f>IFERROR(IF(VendasSem1[[#This Row],[Id da Venda]]=B32,0,VLOOKUP(VendasSem1[[#This Row],[Região de Entrega]],cálculos!$B$5:$C$9,2,0)),0)</f>
        <v>0</v>
      </c>
      <c r="L31" s="6">
        <f>(VendasSem1[[#This Row],[Subtotal]]*(1-VendasSem1[[#This Row],[Desconto]])+VendasSem1[[#This Row],[Valor de Entrega]])</f>
        <v>95.4</v>
      </c>
      <c r="M31" s="6" t="str">
        <f>IFERROR(IF(VendasSem1[[#This Row],[Id da Venda]]=B32,"",SUMIF(VendasSem1[Id da Venda],VendasSem1[[#This Row],[Id da Venda]],VendasSem1[Total])),0)</f>
        <v/>
      </c>
    </row>
    <row r="32" spans="2:13" x14ac:dyDescent="0.25">
      <c r="B32">
        <v>4</v>
      </c>
      <c r="C32" s="7">
        <v>45174</v>
      </c>
      <c r="D32" t="s">
        <v>38</v>
      </c>
      <c r="E32" t="str">
        <f>IFERROR(VLOOKUP(VendasSem1[[#This Row],[Produto]],cálculos!$I$3:$L$50,4,0),"")</f>
        <v>Kg</v>
      </c>
      <c r="F32">
        <v>3</v>
      </c>
      <c r="G32" s="6">
        <f>IFERROR(VLOOKUP(VendasSem1[[#This Row],[Produto]],cálculos!$I$3:$L$50,3,0),0)</f>
        <v>23.9</v>
      </c>
      <c r="H32" s="6">
        <f>IFERROR(VendasSem1[[#This Row],[Quantidade]]*VendasSem1[[#This Row],[Preço Unitário]],0)</f>
        <v>71.699999999999989</v>
      </c>
      <c r="I32" s="11"/>
      <c r="J32" t="s">
        <v>111</v>
      </c>
      <c r="K32" s="6">
        <f>IFERROR(IF(VendasSem1[[#This Row],[Id da Venda]]=B33,0,VLOOKUP(VendasSem1[[#This Row],[Região de Entrega]],cálculos!$B$5:$C$9,2,0)),0)</f>
        <v>15</v>
      </c>
      <c r="L32" s="6">
        <f>(VendasSem1[[#This Row],[Subtotal]]*(1-VendasSem1[[#This Row],[Desconto]])+VendasSem1[[#This Row],[Valor de Entrega]])</f>
        <v>86.699999999999989</v>
      </c>
      <c r="M32" s="6">
        <f>IFERROR(IF(VendasSem1[[#This Row],[Id da Venda]]=B33,"",SUMIF(VendasSem1[Id da Venda],VendasSem1[[#This Row],[Id da Venda]],VendasSem1[Total])),0)</f>
        <v>182.1</v>
      </c>
    </row>
    <row r="33" spans="2:13" x14ac:dyDescent="0.25">
      <c r="B33">
        <v>3</v>
      </c>
      <c r="C33" s="7">
        <v>45174</v>
      </c>
      <c r="D33" t="s">
        <v>72</v>
      </c>
      <c r="E33" t="str">
        <f>IFERROR(VLOOKUP(VendasSem1[[#This Row],[Produto]],cálculos!$I$3:$L$50,4,0),"")</f>
        <v>Litro</v>
      </c>
      <c r="F33">
        <v>10</v>
      </c>
      <c r="G33" s="6">
        <f>IFERROR(VLOOKUP(VendasSem1[[#This Row],[Produto]],cálculos!$I$3:$L$50,3,0),0)</f>
        <v>2.39</v>
      </c>
      <c r="H33" s="6">
        <f>IFERROR(VendasSem1[[#This Row],[Quantidade]]*VendasSem1[[#This Row],[Preço Unitário]],0)</f>
        <v>23.900000000000002</v>
      </c>
      <c r="I33" s="11">
        <v>0.02</v>
      </c>
      <c r="J33" t="s">
        <v>109</v>
      </c>
      <c r="K33" s="6">
        <f>IFERROR(IF(VendasSem1[[#This Row],[Id da Venda]]=B34,0,VLOOKUP(VendasSem1[[#This Row],[Região de Entrega]],cálculos!$B$5:$C$9,2,0)),0)</f>
        <v>0</v>
      </c>
      <c r="L33" s="6">
        <f>(VendasSem1[[#This Row],[Subtotal]]*(1-VendasSem1[[#This Row],[Desconto]])+VendasSem1[[#This Row],[Valor de Entrega]])</f>
        <v>23.422000000000001</v>
      </c>
      <c r="M33" s="6">
        <f>IFERROR(IF(VendasSem1[[#This Row],[Id da Venda]]=B34,"",SUMIF(VendasSem1[Id da Venda],VendasSem1[[#This Row],[Id da Venda]],VendasSem1[Total])),0)</f>
        <v>23.422000000000001</v>
      </c>
    </row>
    <row r="34" spans="2:13" x14ac:dyDescent="0.25">
      <c r="B34">
        <v>2</v>
      </c>
      <c r="C34" s="7">
        <v>45173</v>
      </c>
      <c r="D34" t="s">
        <v>45</v>
      </c>
      <c r="E34" t="str">
        <f>IFERROR(VLOOKUP(VendasSem1[[#This Row],[Produto]],cálculos!$I$3:$L$50,4,0),"")</f>
        <v>Lata</v>
      </c>
      <c r="F34">
        <v>40</v>
      </c>
      <c r="G34" s="6">
        <f>IFERROR(VLOOKUP(VendasSem1[[#This Row],[Produto]],cálculos!$I$3:$L$50,3,0),0)</f>
        <v>2.19</v>
      </c>
      <c r="H34" s="6">
        <f>IFERROR(VendasSem1[[#This Row],[Quantidade]]*VendasSem1[[#This Row],[Preço Unitário]],0)</f>
        <v>87.6</v>
      </c>
      <c r="I34" s="11"/>
      <c r="J34" t="s">
        <v>108</v>
      </c>
      <c r="K34" s="6">
        <f>IFERROR(IF(VendasSem1[[#This Row],[Id da Venda]]=B35,0,VLOOKUP(VendasSem1[[#This Row],[Região de Entrega]],cálculos!$B$5:$C$9,2,0)),0)</f>
        <v>0</v>
      </c>
      <c r="L34" s="6">
        <f>(VendasSem1[[#This Row],[Subtotal]]*(1-VendasSem1[[#This Row],[Desconto]])+VendasSem1[[#This Row],[Valor de Entrega]])</f>
        <v>87.6</v>
      </c>
      <c r="M34" s="6" t="str">
        <f>IFERROR(IF(VendasSem1[[#This Row],[Id da Venda]]=B35,"",SUMIF(VendasSem1[Id da Venda],VendasSem1[[#This Row],[Id da Venda]],VendasSem1[Total])),0)</f>
        <v/>
      </c>
    </row>
    <row r="35" spans="2:13" x14ac:dyDescent="0.25">
      <c r="B35">
        <v>2</v>
      </c>
      <c r="C35" s="7">
        <v>45171</v>
      </c>
      <c r="D35" t="s">
        <v>32</v>
      </c>
      <c r="E35" t="str">
        <f>IFERROR(VLOOKUP(VendasSem1[[#This Row],[Produto]],cálculos!$I$3:$L$50,4,0),"")</f>
        <v>Kg</v>
      </c>
      <c r="F35">
        <v>10</v>
      </c>
      <c r="G35" s="6">
        <f>IFERROR(VLOOKUP(VendasSem1[[#This Row],[Produto]],cálculos!$I$3:$L$50,3,0),0)</f>
        <v>2.4900000000000002</v>
      </c>
      <c r="H35" s="6">
        <f>IFERROR(VendasSem1[[#This Row],[Quantidade]]*VendasSem1[[#This Row],[Preço Unitário]],0)</f>
        <v>24.900000000000002</v>
      </c>
      <c r="I35" s="11">
        <v>0.03</v>
      </c>
      <c r="J35" t="s">
        <v>108</v>
      </c>
      <c r="K35" s="6">
        <f>IFERROR(IF(VendasSem1[[#This Row],[Id da Venda]]=B36,0,VLOOKUP(VendasSem1[[#This Row],[Região de Entrega]],cálculos!$B$5:$C$9,2,0)),0)</f>
        <v>10</v>
      </c>
      <c r="L35" s="6">
        <f>(VendasSem1[[#This Row],[Subtotal]]*(1-VendasSem1[[#This Row],[Desconto]])+VendasSem1[[#This Row],[Valor de Entrega]])</f>
        <v>34.153000000000006</v>
      </c>
      <c r="M35" s="6">
        <f>IFERROR(IF(VendasSem1[[#This Row],[Id da Venda]]=B36,"",SUMIF(VendasSem1[Id da Venda],VendasSem1[[#This Row],[Id da Venda]],VendasSem1[Total])),0)</f>
        <v>121.753</v>
      </c>
    </row>
    <row r="36" spans="2:13" x14ac:dyDescent="0.25">
      <c r="B36">
        <v>1</v>
      </c>
      <c r="C36" s="7">
        <v>45171</v>
      </c>
      <c r="D36" t="s">
        <v>37</v>
      </c>
      <c r="E36" t="str">
        <f>IFERROR(VLOOKUP(VendasSem1[[#This Row],[Produto]],cálculos!$I$3:$L$50,4,0),"")</f>
        <v>Kg</v>
      </c>
      <c r="F36">
        <v>5</v>
      </c>
      <c r="G36" s="6">
        <f>IFERROR(VLOOKUP(VendasSem1[[#This Row],[Produto]],cálculos!$I$3:$L$50,3,0),0)</f>
        <v>6.98</v>
      </c>
      <c r="H36" s="6">
        <f>IFERROR(VendasSem1[[#This Row],[Quantidade]]*VendasSem1[[#This Row],[Preço Unitário]],0)</f>
        <v>34.900000000000006</v>
      </c>
      <c r="I36" s="11"/>
      <c r="J36" t="s">
        <v>112</v>
      </c>
      <c r="K36" s="6">
        <f>IFERROR(IF(VendasSem1[[#This Row],[Id da Venda]]=B37,0,VLOOKUP(VendasSem1[[#This Row],[Região de Entrega]],cálculos!$B$5:$C$9,2,0)),0)</f>
        <v>0</v>
      </c>
      <c r="L36" s="6">
        <f>(VendasSem1[[#This Row],[Subtotal]]*(1-VendasSem1[[#This Row],[Desconto]])+VendasSem1[[#This Row],[Valor de Entrega]])</f>
        <v>34.900000000000006</v>
      </c>
      <c r="M36" s="6" t="str">
        <f>IFERROR(IF(VendasSem1[[#This Row],[Id da Venda]]=B37,"",SUMIF(VendasSem1[Id da Venda],VendasSem1[[#This Row],[Id da Venda]],VendasSem1[Total])),0)</f>
        <v/>
      </c>
    </row>
    <row r="37" spans="2:13" x14ac:dyDescent="0.25">
      <c r="B37">
        <v>1</v>
      </c>
      <c r="C37" s="7">
        <v>45171</v>
      </c>
      <c r="D37" t="s">
        <v>48</v>
      </c>
      <c r="E37" t="str">
        <f>IFERROR(VLOOKUP(VendasSem1[[#This Row],[Produto]],cálculos!$I$3:$L$50,4,0),"")</f>
        <v>Pacote</v>
      </c>
      <c r="F37">
        <v>2</v>
      </c>
      <c r="G37" s="6">
        <f>IFERROR(VLOOKUP(VendasSem1[[#This Row],[Produto]],cálculos!$I$3:$L$50,3,0),0)</f>
        <v>0.79</v>
      </c>
      <c r="H37" s="6">
        <f>IFERROR(VendasSem1[[#This Row],[Quantidade]]*VendasSem1[[#This Row],[Preço Unitário]],0)</f>
        <v>1.58</v>
      </c>
      <c r="I37" s="11"/>
      <c r="J37" t="s">
        <v>109</v>
      </c>
      <c r="K37" s="6">
        <f>IFERROR(IF(VendasSem1[[#This Row],[Id da Venda]]=B38,0,VLOOKUP(VendasSem1[[#This Row],[Região de Entrega]],cálculos!$B$5:$C$9,2,0)),0)</f>
        <v>0</v>
      </c>
      <c r="L37" s="6">
        <f>(VendasSem1[[#This Row],[Subtotal]]*(1-VendasSem1[[#This Row],[Desconto]])+VendasSem1[[#This Row],[Valor de Entrega]])</f>
        <v>1.58</v>
      </c>
      <c r="M37" s="6">
        <f>IFERROR(IF(VendasSem1[[#This Row],[Id da Venda]]=B38,"",SUMIF(VendasSem1[Id da Venda],VendasSem1[[#This Row],[Id da Venda]],VendasSem1[Total])),0)</f>
        <v>36.480000000000004</v>
      </c>
    </row>
    <row r="38" spans="2:13" x14ac:dyDescent="0.25">
      <c r="H38" s="6"/>
    </row>
    <row r="39" spans="2:13" ht="18.75" x14ac:dyDescent="0.3">
      <c r="B39" s="26" t="s">
        <v>113</v>
      </c>
      <c r="C39" s="27"/>
      <c r="D39" s="27"/>
      <c r="E39" s="28"/>
      <c r="F39" s="27"/>
      <c r="G39" s="27"/>
      <c r="H39" s="27"/>
      <c r="I39" s="27"/>
      <c r="J39" s="27"/>
      <c r="K39" s="27"/>
      <c r="L39" s="27"/>
      <c r="M39" s="29">
        <f>SUM(VendasSem1[Total])-M40</f>
        <v>2596.9249999999993</v>
      </c>
    </row>
    <row r="40" spans="2:13" ht="18.75" x14ac:dyDescent="0.3">
      <c r="B40" s="30" t="s">
        <v>114</v>
      </c>
      <c r="C40" s="31"/>
      <c r="D40" s="31"/>
      <c r="E40" s="31"/>
      <c r="F40" s="31"/>
      <c r="G40" s="31"/>
      <c r="H40" s="31"/>
      <c r="I40" s="31"/>
      <c r="J40" s="31"/>
      <c r="K40" s="31"/>
      <c r="L40" s="31"/>
      <c r="M40" s="32">
        <f>SUM(VendasSem1[Valor de Entrega])</f>
        <v>82.6</v>
      </c>
    </row>
    <row r="41" spans="2:13" ht="18.75" x14ac:dyDescent="0.3">
      <c r="B41" s="30" t="s">
        <v>149</v>
      </c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52" cm="1">
        <f t="array" ref="M41">SUM(IF(FREQUENCY(VendasSem1[Id da Venda],VendasSem1[Id da Venda])&gt;0,1,0))</f>
        <v>15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0A68F8B-963A-46F9-A196-D9344BFE9645}">
          <x14:formula1>
            <xm:f>cálculos!$B$5:$B$9</xm:f>
          </x14:formula1>
          <xm:sqref>J5:J37</xm:sqref>
        </x14:dataValidation>
        <x14:dataValidation type="list" allowBlank="1" showInputMessage="1" showErrorMessage="1" xr:uid="{11D7E30D-509B-4C97-8611-74F8C5DF4AA3}">
          <x14:formula1>
            <xm:f>cálculos!$I$3:$I$100</xm:f>
          </x14:formula1>
          <xm:sqref>D5:D37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EDAB9-9BA3-484B-A7FA-D0CC2E72A00D}">
  <dimension ref="A4:J43"/>
  <sheetViews>
    <sheetView showGridLines="0" topLeftCell="B1" workbookViewId="0">
      <selection activeCell="F10" sqref="F10"/>
    </sheetView>
  </sheetViews>
  <sheetFormatPr defaultRowHeight="15" x14ac:dyDescent="0.25"/>
  <cols>
    <col min="1" max="1" width="19.42578125" bestFit="1" customWidth="1"/>
    <col min="2" max="2" width="19.85546875" bestFit="1" customWidth="1"/>
    <col min="3" max="3" width="13.7109375" bestFit="1" customWidth="1"/>
    <col min="7" max="7" width="18.42578125" bestFit="1" customWidth="1"/>
    <col min="8" max="8" width="19.85546875" bestFit="1" customWidth="1"/>
    <col min="9" max="9" width="24.140625" bestFit="1" customWidth="1"/>
    <col min="10" max="10" width="13.7109375" bestFit="1" customWidth="1"/>
  </cols>
  <sheetData>
    <row r="4" spans="1:10" x14ac:dyDescent="0.25">
      <c r="A4" s="75" t="s">
        <v>167</v>
      </c>
      <c r="B4" t="s">
        <v>169</v>
      </c>
      <c r="C4" t="s">
        <v>170</v>
      </c>
      <c r="G4" s="75" t="s">
        <v>167</v>
      </c>
      <c r="H4" t="s">
        <v>169</v>
      </c>
      <c r="I4" t="s">
        <v>171</v>
      </c>
      <c r="J4" t="s">
        <v>170</v>
      </c>
    </row>
    <row r="5" spans="1:10" x14ac:dyDescent="0.25">
      <c r="A5" s="76">
        <v>45171</v>
      </c>
      <c r="B5">
        <v>17</v>
      </c>
      <c r="C5" s="77">
        <v>70.63300000000001</v>
      </c>
      <c r="G5" s="79" t="s">
        <v>108</v>
      </c>
      <c r="H5">
        <v>65</v>
      </c>
      <c r="I5" s="77">
        <v>20</v>
      </c>
      <c r="J5" s="77">
        <v>164.10300000000001</v>
      </c>
    </row>
    <row r="6" spans="1:10" x14ac:dyDescent="0.25">
      <c r="A6" s="78" t="s">
        <v>32</v>
      </c>
      <c r="B6">
        <v>10</v>
      </c>
      <c r="C6" s="77">
        <v>34.153000000000006</v>
      </c>
      <c r="G6" s="79" t="s">
        <v>109</v>
      </c>
      <c r="H6">
        <v>55</v>
      </c>
      <c r="I6" s="77">
        <v>0</v>
      </c>
      <c r="J6" s="77">
        <v>252.452</v>
      </c>
    </row>
    <row r="7" spans="1:10" x14ac:dyDescent="0.25">
      <c r="A7" s="78" t="s">
        <v>48</v>
      </c>
      <c r="B7">
        <v>2</v>
      </c>
      <c r="C7" s="77">
        <v>1.58</v>
      </c>
      <c r="G7" s="79" t="s">
        <v>110</v>
      </c>
      <c r="H7">
        <v>48</v>
      </c>
      <c r="I7" s="77">
        <v>25.6</v>
      </c>
      <c r="J7" s="77">
        <v>976.77</v>
      </c>
    </row>
    <row r="8" spans="1:10" x14ac:dyDescent="0.25">
      <c r="A8" s="78" t="s">
        <v>37</v>
      </c>
      <c r="B8">
        <v>5</v>
      </c>
      <c r="C8" s="77">
        <v>34.900000000000006</v>
      </c>
      <c r="G8" s="79" t="s">
        <v>111</v>
      </c>
      <c r="H8">
        <v>32</v>
      </c>
      <c r="I8" s="77">
        <v>30</v>
      </c>
      <c r="J8" s="77">
        <v>265.32</v>
      </c>
    </row>
    <row r="9" spans="1:10" x14ac:dyDescent="0.25">
      <c r="A9" s="76">
        <v>45173</v>
      </c>
      <c r="B9">
        <v>40</v>
      </c>
      <c r="C9" s="77">
        <v>87.6</v>
      </c>
      <c r="G9" s="79" t="s">
        <v>112</v>
      </c>
      <c r="H9">
        <v>158</v>
      </c>
      <c r="I9" s="77">
        <v>7</v>
      </c>
      <c r="J9" s="77">
        <v>1020.8799999999999</v>
      </c>
    </row>
    <row r="10" spans="1:10" x14ac:dyDescent="0.25">
      <c r="A10" s="78" t="s">
        <v>45</v>
      </c>
      <c r="B10">
        <v>40</v>
      </c>
      <c r="C10" s="77">
        <v>87.6</v>
      </c>
      <c r="G10" s="79" t="s">
        <v>168</v>
      </c>
      <c r="H10">
        <v>358</v>
      </c>
      <c r="I10" s="77">
        <v>82.6</v>
      </c>
      <c r="J10" s="77">
        <v>2679.5249999999996</v>
      </c>
    </row>
    <row r="11" spans="1:10" x14ac:dyDescent="0.25">
      <c r="A11" s="76">
        <v>45174</v>
      </c>
      <c r="B11">
        <v>42</v>
      </c>
      <c r="C11" s="77">
        <v>288.74200000000002</v>
      </c>
    </row>
    <row r="12" spans="1:10" x14ac:dyDescent="0.25">
      <c r="A12" s="78" t="s">
        <v>32</v>
      </c>
      <c r="B12">
        <v>10</v>
      </c>
      <c r="C12" s="77">
        <v>24.900000000000002</v>
      </c>
    </row>
    <row r="13" spans="1:10" x14ac:dyDescent="0.25">
      <c r="A13" s="78" t="s">
        <v>56</v>
      </c>
      <c r="B13">
        <v>5</v>
      </c>
      <c r="C13" s="77">
        <v>24.95</v>
      </c>
    </row>
    <row r="14" spans="1:10" x14ac:dyDescent="0.25">
      <c r="A14" s="78" t="s">
        <v>36</v>
      </c>
      <c r="B14">
        <v>6</v>
      </c>
      <c r="C14" s="77">
        <v>95.4</v>
      </c>
    </row>
    <row r="15" spans="1:10" x14ac:dyDescent="0.25">
      <c r="A15" s="78" t="s">
        <v>42</v>
      </c>
      <c r="B15">
        <v>3</v>
      </c>
      <c r="C15" s="77">
        <v>11.97</v>
      </c>
    </row>
    <row r="16" spans="1:10" x14ac:dyDescent="0.25">
      <c r="A16" s="78" t="s">
        <v>33</v>
      </c>
      <c r="B16">
        <v>5</v>
      </c>
      <c r="C16" s="77">
        <v>21.400000000000002</v>
      </c>
    </row>
    <row r="17" spans="1:3" x14ac:dyDescent="0.25">
      <c r="A17" s="78" t="s">
        <v>38</v>
      </c>
      <c r="B17">
        <v>3</v>
      </c>
      <c r="C17" s="77">
        <v>86.699999999999989</v>
      </c>
    </row>
    <row r="18" spans="1:3" x14ac:dyDescent="0.25">
      <c r="A18" s="78" t="s">
        <v>72</v>
      </c>
      <c r="B18">
        <v>10</v>
      </c>
      <c r="C18" s="77">
        <v>23.422000000000001</v>
      </c>
    </row>
    <row r="19" spans="1:3" x14ac:dyDescent="0.25">
      <c r="A19" s="76">
        <v>45175</v>
      </c>
      <c r="B19">
        <v>6</v>
      </c>
      <c r="C19" s="77">
        <v>41.42</v>
      </c>
    </row>
    <row r="20" spans="1:3" x14ac:dyDescent="0.25">
      <c r="A20" s="78" t="s">
        <v>58</v>
      </c>
      <c r="B20">
        <v>2</v>
      </c>
      <c r="C20" s="77">
        <v>13.5</v>
      </c>
    </row>
    <row r="21" spans="1:3" x14ac:dyDescent="0.25">
      <c r="A21" s="78" t="s">
        <v>37</v>
      </c>
      <c r="B21">
        <v>4</v>
      </c>
      <c r="C21" s="77">
        <v>27.92</v>
      </c>
    </row>
    <row r="22" spans="1:3" x14ac:dyDescent="0.25">
      <c r="A22" s="76">
        <v>45176</v>
      </c>
      <c r="B22">
        <v>58</v>
      </c>
      <c r="C22" s="77">
        <v>1044.27</v>
      </c>
    </row>
    <row r="23" spans="1:3" x14ac:dyDescent="0.25">
      <c r="A23" s="78" t="s">
        <v>35</v>
      </c>
      <c r="B23">
        <v>3</v>
      </c>
      <c r="C23" s="77">
        <v>8.9700000000000006</v>
      </c>
    </row>
    <row r="24" spans="1:3" x14ac:dyDescent="0.25">
      <c r="A24" s="78" t="s">
        <v>44</v>
      </c>
      <c r="B24">
        <v>2</v>
      </c>
      <c r="C24" s="77">
        <v>15.100000000000001</v>
      </c>
    </row>
    <row r="25" spans="1:3" x14ac:dyDescent="0.25">
      <c r="A25" s="78" t="s">
        <v>58</v>
      </c>
      <c r="B25">
        <v>23</v>
      </c>
      <c r="C25" s="77">
        <v>168.05</v>
      </c>
    </row>
    <row r="26" spans="1:3" x14ac:dyDescent="0.25">
      <c r="A26" s="78" t="s">
        <v>40</v>
      </c>
      <c r="B26">
        <v>30</v>
      </c>
      <c r="C26" s="77">
        <v>852.15</v>
      </c>
    </row>
    <row r="27" spans="1:3" x14ac:dyDescent="0.25">
      <c r="A27" s="76">
        <v>45177</v>
      </c>
      <c r="B27">
        <v>165</v>
      </c>
      <c r="C27" s="77">
        <v>1055.82</v>
      </c>
    </row>
    <row r="28" spans="1:3" x14ac:dyDescent="0.25">
      <c r="A28" s="78" t="s">
        <v>36</v>
      </c>
      <c r="B28">
        <v>15</v>
      </c>
      <c r="C28" s="77">
        <v>245.5</v>
      </c>
    </row>
    <row r="29" spans="1:3" x14ac:dyDescent="0.25">
      <c r="A29" s="78" t="s">
        <v>45</v>
      </c>
      <c r="B29">
        <v>100</v>
      </c>
      <c r="C29" s="77">
        <v>208.04999999999998</v>
      </c>
    </row>
    <row r="30" spans="1:3" x14ac:dyDescent="0.25">
      <c r="A30" s="78" t="s">
        <v>57</v>
      </c>
      <c r="B30">
        <v>15</v>
      </c>
      <c r="C30" s="77">
        <v>74.850000000000009</v>
      </c>
    </row>
    <row r="31" spans="1:3" x14ac:dyDescent="0.25">
      <c r="A31" s="78" t="s">
        <v>72</v>
      </c>
      <c r="B31">
        <v>12</v>
      </c>
      <c r="C31" s="77">
        <v>28.68</v>
      </c>
    </row>
    <row r="32" spans="1:3" x14ac:dyDescent="0.25">
      <c r="A32" s="78" t="s">
        <v>34</v>
      </c>
      <c r="B32">
        <v>12</v>
      </c>
      <c r="C32" s="77">
        <v>69.84</v>
      </c>
    </row>
    <row r="33" spans="1:3" x14ac:dyDescent="0.25">
      <c r="A33" s="78" t="s">
        <v>40</v>
      </c>
      <c r="B33">
        <v>7</v>
      </c>
      <c r="C33" s="77">
        <v>209.29999999999998</v>
      </c>
    </row>
    <row r="34" spans="1:3" x14ac:dyDescent="0.25">
      <c r="A34" s="78" t="s">
        <v>46</v>
      </c>
      <c r="B34">
        <v>4</v>
      </c>
      <c r="C34" s="77">
        <v>219.6</v>
      </c>
    </row>
    <row r="35" spans="1:3" x14ac:dyDescent="0.25">
      <c r="A35" s="76">
        <v>45178</v>
      </c>
      <c r="B35">
        <v>30</v>
      </c>
      <c r="C35" s="77">
        <v>91.04</v>
      </c>
    </row>
    <row r="36" spans="1:3" x14ac:dyDescent="0.25">
      <c r="A36" s="78" t="s">
        <v>44</v>
      </c>
      <c r="B36">
        <v>1</v>
      </c>
      <c r="C36" s="77">
        <v>1.1499999999999999</v>
      </c>
    </row>
    <row r="37" spans="1:3" x14ac:dyDescent="0.25">
      <c r="A37" s="78" t="s">
        <v>32</v>
      </c>
      <c r="B37">
        <v>16</v>
      </c>
      <c r="C37" s="77">
        <v>39.840000000000003</v>
      </c>
    </row>
    <row r="38" spans="1:3" x14ac:dyDescent="0.25">
      <c r="A38" s="78" t="s">
        <v>119</v>
      </c>
      <c r="B38">
        <v>1</v>
      </c>
      <c r="C38" s="77">
        <v>6.8</v>
      </c>
    </row>
    <row r="39" spans="1:3" x14ac:dyDescent="0.25">
      <c r="A39" s="78" t="s">
        <v>47</v>
      </c>
      <c r="B39">
        <v>3</v>
      </c>
      <c r="C39" s="77">
        <v>7.8000000000000007</v>
      </c>
    </row>
    <row r="40" spans="1:3" x14ac:dyDescent="0.25">
      <c r="A40" s="78" t="s">
        <v>125</v>
      </c>
      <c r="B40">
        <v>2</v>
      </c>
      <c r="C40" s="77">
        <v>9</v>
      </c>
    </row>
    <row r="41" spans="1:3" x14ac:dyDescent="0.25">
      <c r="A41" s="78" t="s">
        <v>120</v>
      </c>
      <c r="B41">
        <v>2</v>
      </c>
      <c r="C41" s="77">
        <v>9</v>
      </c>
    </row>
    <row r="42" spans="1:3" x14ac:dyDescent="0.25">
      <c r="A42" s="78" t="s">
        <v>66</v>
      </c>
      <c r="B42">
        <v>5</v>
      </c>
      <c r="C42" s="77">
        <v>17.45</v>
      </c>
    </row>
    <row r="43" spans="1:3" x14ac:dyDescent="0.25">
      <c r="A43" s="76" t="s">
        <v>168</v>
      </c>
      <c r="B43">
        <v>358</v>
      </c>
      <c r="C43" s="77">
        <v>2679.5250000000005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65D-13DF-45EB-87B3-4E7697BE061D}">
  <sheetPr codeName="Planilha10"/>
  <dimension ref="A1:M35"/>
  <sheetViews>
    <sheetView showGridLines="0" topLeftCell="B21" workbookViewId="0">
      <selection activeCell="M33" sqref="M33"/>
    </sheetView>
  </sheetViews>
  <sheetFormatPr defaultRowHeight="15" x14ac:dyDescent="0.25"/>
  <cols>
    <col min="1" max="1" width="21.7109375" customWidth="1"/>
    <col min="2" max="2" width="14.85546875" customWidth="1"/>
    <col min="3" max="3" width="10.42578125" bestFit="1" customWidth="1"/>
    <col min="4" max="4" width="13.28515625" bestFit="1" customWidth="1"/>
    <col min="5" max="5" width="9.85546875" bestFit="1" customWidth="1"/>
    <col min="6" max="6" width="13.7109375" bestFit="1" customWidth="1"/>
    <col min="7" max="7" width="16.140625" bestFit="1" customWidth="1"/>
    <col min="8" max="8" width="12.140625" bestFit="1" customWidth="1"/>
    <col min="9" max="9" width="12" bestFit="1" customWidth="1"/>
    <col min="10" max="10" width="19.7109375" bestFit="1" customWidth="1"/>
    <col min="11" max="11" width="18" bestFit="1" customWidth="1"/>
    <col min="12" max="12" width="12.140625" bestFit="1" customWidth="1"/>
    <col min="13" max="13" width="19.28515625" bestFit="1" customWidth="1"/>
  </cols>
  <sheetData>
    <row r="1" spans="1:13" ht="9.75" customHeight="1" x14ac:dyDescent="0.25"/>
    <row r="2" spans="1:13" s="33" customFormat="1" ht="25.5" customHeight="1" x14ac:dyDescent="0.25">
      <c r="A2" s="25"/>
      <c r="B2" s="24" t="s">
        <v>115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</row>
    <row r="4" spans="1:13" x14ac:dyDescent="0.25">
      <c r="B4" t="s">
        <v>101</v>
      </c>
      <c r="C4" t="s">
        <v>13</v>
      </c>
      <c r="D4" t="s">
        <v>93</v>
      </c>
      <c r="E4" t="s">
        <v>51</v>
      </c>
      <c r="F4" t="s">
        <v>52</v>
      </c>
      <c r="G4" t="s">
        <v>53</v>
      </c>
      <c r="H4" t="s">
        <v>102</v>
      </c>
      <c r="I4" t="s">
        <v>54</v>
      </c>
      <c r="J4" t="s">
        <v>103</v>
      </c>
      <c r="K4" t="s">
        <v>104</v>
      </c>
      <c r="L4" t="s">
        <v>105</v>
      </c>
      <c r="M4" t="s">
        <v>106</v>
      </c>
    </row>
    <row r="5" spans="1:13" x14ac:dyDescent="0.25">
      <c r="B5">
        <v>21</v>
      </c>
      <c r="C5" s="7">
        <v>45185</v>
      </c>
      <c r="D5" t="s">
        <v>35</v>
      </c>
      <c r="E5" t="str">
        <f>IFERROR(VLOOKUP(VendasSem2[[#This Row],[Produto]],cálculos!$I$3:$L$50,4,0),"")</f>
        <v>Unidade</v>
      </c>
      <c r="F5">
        <v>3</v>
      </c>
      <c r="G5" s="6">
        <f>IFERROR(VLOOKUP(VendasSem2[[#This Row],[Produto]],cálculos!$I$3:$L$50,3,0),0)</f>
        <v>2.99</v>
      </c>
      <c r="H5" s="6">
        <f>IFERROR(VendasSem2[[#This Row],[Quantidade]]*VendasSem2[[#This Row],[Preço Unitário]],0)</f>
        <v>8.9700000000000006</v>
      </c>
      <c r="I5" s="11"/>
      <c r="J5" t="s">
        <v>112</v>
      </c>
      <c r="K5" s="6">
        <f>IF(VendasSem2[[#This Row],[Id da Venda]]=B6,0,(VLOOKUP(VendasSem2[[#This Row],[Região de Entrega]],cálculos!$B$5:$C$9,2,0)))</f>
        <v>0</v>
      </c>
      <c r="L5" s="6">
        <f>(VendasSem2[[#This Row],[Subtotal]]*(1-VendasSem2[[#This Row],[Desconto]])+VendasSem2[[#This Row],[Valor de Entrega]])</f>
        <v>8.9700000000000006</v>
      </c>
      <c r="M5" s="6" t="str">
        <f>IF(VendasSem2[[#This Row],[Id da Venda]]=B6,"",SUMIF(VendasSem2[Id da Venda],VendasSem2[[#This Row],[Id da Venda]],VendasSem2[Total]))</f>
        <v/>
      </c>
    </row>
    <row r="6" spans="1:13" x14ac:dyDescent="0.25">
      <c r="B6">
        <v>21</v>
      </c>
      <c r="C6" s="7">
        <v>45185</v>
      </c>
      <c r="D6" t="s">
        <v>34</v>
      </c>
      <c r="E6" t="str">
        <f>IFERROR(VLOOKUP(VendasSem2[[#This Row],[Produto]],cálculos!$I$3:$L$50,4,0),"")</f>
        <v>Kg</v>
      </c>
      <c r="F6">
        <v>10</v>
      </c>
      <c r="G6" s="6">
        <f>IFERROR(VLOOKUP(VendasSem2[[#This Row],[Produto]],cálculos!$I$3:$L$50,3,0),0)</f>
        <v>5.82</v>
      </c>
      <c r="H6" s="6">
        <f>IFERROR(VendasSem2[[#This Row],[Quantidade]]*VendasSem2[[#This Row],[Preço Unitário]],0)</f>
        <v>58.2</v>
      </c>
      <c r="I6" s="11"/>
      <c r="J6" t="s">
        <v>112</v>
      </c>
      <c r="K6" s="6">
        <f>IF(VendasSem2[[#This Row],[Id da Venda]]=B7,0,(VLOOKUP(VendasSem2[[#This Row],[Região de Entrega]],cálculos!$B$5:$C$9,2,0)))</f>
        <v>0</v>
      </c>
      <c r="L6" s="6">
        <f>(VendasSem2[[#This Row],[Subtotal]]*(1-VendasSem2[[#This Row],[Desconto]])+VendasSem2[[#This Row],[Valor de Entrega]])</f>
        <v>58.2</v>
      </c>
      <c r="M6" s="6" t="str">
        <f>IF(VendasSem2[[#This Row],[Id da Venda]]=B7,"",SUMIF(VendasSem2[Id da Venda],VendasSem2[[#This Row],[Id da Venda]],VendasSem2[Total]))</f>
        <v/>
      </c>
    </row>
    <row r="7" spans="1:13" x14ac:dyDescent="0.25">
      <c r="B7">
        <v>21</v>
      </c>
      <c r="C7" s="7">
        <v>45185</v>
      </c>
      <c r="D7" t="s">
        <v>66</v>
      </c>
      <c r="E7" t="str">
        <f>IFERROR(VLOOKUP(VendasSem2[[#This Row],[Produto]],cálculos!$I$3:$L$50,4,0),"")</f>
        <v>Litro</v>
      </c>
      <c r="F7">
        <v>24</v>
      </c>
      <c r="G7" s="6">
        <f>IFERROR(VLOOKUP(VendasSem2[[#This Row],[Produto]],cálculos!$I$3:$L$50,3,0),0)</f>
        <v>1.49</v>
      </c>
      <c r="H7" s="6">
        <f>IFERROR(VendasSem2[[#This Row],[Quantidade]]*VendasSem2[[#This Row],[Preço Unitário]],0)</f>
        <v>35.76</v>
      </c>
      <c r="I7" s="11"/>
      <c r="J7" t="s">
        <v>112</v>
      </c>
      <c r="K7" s="6">
        <f>IF(VendasSem2[[#This Row],[Id da Venda]]=B8,0,(VLOOKUP(VendasSem2[[#This Row],[Região de Entrega]],cálculos!$B$5:$C$9,2,0)))</f>
        <v>7</v>
      </c>
      <c r="L7" s="6">
        <f>(VendasSem2[[#This Row],[Subtotal]]*(1-VendasSem2[[#This Row],[Desconto]])+VendasSem2[[#This Row],[Valor de Entrega]])</f>
        <v>42.76</v>
      </c>
      <c r="M7" s="6">
        <f>IF(VendasSem2[[#This Row],[Id da Venda]]=B8,"",SUMIF(VendasSem2[Id da Venda],VendasSem2[[#This Row],[Id da Venda]],VendasSem2[Total]))</f>
        <v>109.93</v>
      </c>
    </row>
    <row r="8" spans="1:13" x14ac:dyDescent="0.25">
      <c r="B8">
        <v>20</v>
      </c>
      <c r="C8" s="7">
        <v>45184</v>
      </c>
      <c r="D8" t="s">
        <v>71</v>
      </c>
      <c r="E8" t="str">
        <f>IFERROR(VLOOKUP(VendasSem2[[#This Row],[Produto]],cálculos!$I$3:$L$50,4,0),"")</f>
        <v>Unidade</v>
      </c>
      <c r="F8">
        <v>2</v>
      </c>
      <c r="G8" s="6">
        <f>IFERROR(VLOOKUP(VendasSem2[[#This Row],[Produto]],cálculos!$I$3:$L$50,3,0),0)</f>
        <v>2.89</v>
      </c>
      <c r="H8" s="6">
        <f>IFERROR(VendasSem2[[#This Row],[Quantidade]]*VendasSem2[[#This Row],[Preço Unitário]],0)</f>
        <v>5.78</v>
      </c>
      <c r="I8" s="11"/>
      <c r="J8" t="s">
        <v>109</v>
      </c>
      <c r="K8" s="6">
        <f>IF(VendasSem2[[#This Row],[Id da Venda]]=B9,0,(VLOOKUP(VendasSem2[[#This Row],[Região de Entrega]],cálculos!$B$5:$C$9,2,0)))</f>
        <v>0</v>
      </c>
      <c r="L8" s="6">
        <f>(VendasSem2[[#This Row],[Subtotal]]*(1-VendasSem2[[#This Row],[Desconto]])+VendasSem2[[#This Row],[Valor de Entrega]])</f>
        <v>5.78</v>
      </c>
      <c r="M8" s="6" t="str">
        <f>IF(VendasSem2[[#This Row],[Id da Venda]]=B9,"",SUMIF(VendasSem2[Id da Venda],VendasSem2[[#This Row],[Id da Venda]],VendasSem2[Total]))</f>
        <v/>
      </c>
    </row>
    <row r="9" spans="1:13" x14ac:dyDescent="0.25">
      <c r="B9">
        <v>20</v>
      </c>
      <c r="C9" s="7">
        <v>45184</v>
      </c>
      <c r="D9" t="s">
        <v>58</v>
      </c>
      <c r="E9" t="str">
        <f>IFERROR(VLOOKUP(VendasSem2[[#This Row],[Produto]],cálculos!$I$3:$L$50,4,0),"")</f>
        <v>Maço</v>
      </c>
      <c r="F9">
        <v>2</v>
      </c>
      <c r="G9" s="6">
        <f>IFERROR(VLOOKUP(VendasSem2[[#This Row],[Produto]],cálculos!$I$3:$L$50,3,0),0)</f>
        <v>6.75</v>
      </c>
      <c r="H9" s="6">
        <f>IFERROR(VendasSem2[[#This Row],[Quantidade]]*VendasSem2[[#This Row],[Preço Unitário]],0)</f>
        <v>13.5</v>
      </c>
      <c r="I9" s="11"/>
      <c r="J9" t="s">
        <v>109</v>
      </c>
      <c r="K9" s="6">
        <f>IF(VendasSem2[[#This Row],[Id da Venda]]=B10,0,(VLOOKUP(VendasSem2[[#This Row],[Região de Entrega]],cálculos!$B$5:$C$9,2,0)))</f>
        <v>0</v>
      </c>
      <c r="L9" s="6">
        <f>(VendasSem2[[#This Row],[Subtotal]]*(1-VendasSem2[[#This Row],[Desconto]])+VendasSem2[[#This Row],[Valor de Entrega]])</f>
        <v>13.5</v>
      </c>
      <c r="M9" s="6">
        <f>IF(VendasSem2[[#This Row],[Id da Venda]]=B10,"",SUMIF(VendasSem2[Id da Venda],VendasSem2[[#This Row],[Id da Venda]],VendasSem2[Total]))</f>
        <v>19.28</v>
      </c>
    </row>
    <row r="10" spans="1:13" x14ac:dyDescent="0.25">
      <c r="B10">
        <v>22</v>
      </c>
      <c r="C10" s="7">
        <v>45184</v>
      </c>
      <c r="D10" t="s">
        <v>40</v>
      </c>
      <c r="E10" t="str">
        <f>IFERROR(VLOOKUP(VendasSem2[[#This Row],[Produto]],cálculos!$I$3:$L$50,4,0),"")</f>
        <v>Garrafa</v>
      </c>
      <c r="F10">
        <v>100</v>
      </c>
      <c r="G10" s="6">
        <f>IFERROR(VLOOKUP(VendasSem2[[#This Row],[Produto]],cálculos!$I$3:$L$50,3,0),0)</f>
        <v>29.9</v>
      </c>
      <c r="H10" s="6">
        <f>IFERROR(VendasSem2[[#This Row],[Quantidade]]*VendasSem2[[#This Row],[Preço Unitário]],0)</f>
        <v>2990</v>
      </c>
      <c r="I10" s="11"/>
      <c r="J10" t="s">
        <v>110</v>
      </c>
      <c r="K10" s="6">
        <f>IF(VendasSem2[[#This Row],[Id da Venda]]=B11,0,(VLOOKUP(VendasSem2[[#This Row],[Região de Entrega]],cálculos!$B$5:$C$9,2,0)))</f>
        <v>0</v>
      </c>
      <c r="L10" s="6">
        <f>(VendasSem2[[#This Row],[Subtotal]]*(1-VendasSem2[[#This Row],[Desconto]])+VendasSem2[[#This Row],[Valor de Entrega]])</f>
        <v>2990</v>
      </c>
      <c r="M10" s="6" t="str">
        <f>IF(VendasSem2[[#This Row],[Id da Venda]]=B11,"",SUMIF(VendasSem2[Id da Venda],VendasSem2[[#This Row],[Id da Venda]],VendasSem2[Total]))</f>
        <v/>
      </c>
    </row>
    <row r="11" spans="1:13" x14ac:dyDescent="0.25">
      <c r="B11">
        <v>22</v>
      </c>
      <c r="C11" s="7">
        <v>45184</v>
      </c>
      <c r="D11" t="s">
        <v>45</v>
      </c>
      <c r="E11" t="str">
        <f>IFERROR(VLOOKUP(VendasSem2[[#This Row],[Produto]],cálculos!$I$3:$L$50,4,0),"")</f>
        <v>Lata</v>
      </c>
      <c r="F11">
        <v>250</v>
      </c>
      <c r="G11" s="6">
        <f>IFERROR(VLOOKUP(VendasSem2[[#This Row],[Produto]],cálculos!$I$3:$L$50,3,0),0)</f>
        <v>2.19</v>
      </c>
      <c r="H11" s="6">
        <f>IFERROR(VendasSem2[[#This Row],[Quantidade]]*VendasSem2[[#This Row],[Preço Unitário]],0)</f>
        <v>547.5</v>
      </c>
      <c r="I11" s="11"/>
      <c r="J11" t="s">
        <v>110</v>
      </c>
      <c r="K11" s="6">
        <f>IF(VendasSem2[[#This Row],[Id da Venda]]=B12,0,(VLOOKUP(VendasSem2[[#This Row],[Região de Entrega]],cálculos!$B$5:$C$9,2,0)))</f>
        <v>0</v>
      </c>
      <c r="L11" s="6">
        <f>(VendasSem2[[#This Row],[Subtotal]]*(1-VendasSem2[[#This Row],[Desconto]])+VendasSem2[[#This Row],[Valor de Entrega]])</f>
        <v>547.5</v>
      </c>
      <c r="M11" s="6" t="str">
        <f>IF(VendasSem2[[#This Row],[Id da Venda]]=B12,"",SUMIF(VendasSem2[Id da Venda],VendasSem2[[#This Row],[Id da Venda]],VendasSem2[Total]))</f>
        <v/>
      </c>
    </row>
    <row r="12" spans="1:13" x14ac:dyDescent="0.25">
      <c r="B12">
        <v>22</v>
      </c>
      <c r="C12" s="7">
        <v>45184</v>
      </c>
      <c r="D12" t="s">
        <v>58</v>
      </c>
      <c r="E12" t="str">
        <f>IFERROR(VLOOKUP(VendasSem2[[#This Row],[Produto]],cálculos!$I$3:$L$50,4,0),"")</f>
        <v>Maço</v>
      </c>
      <c r="F12">
        <v>50</v>
      </c>
      <c r="G12" s="6">
        <f>IFERROR(VLOOKUP(VendasSem2[[#This Row],[Produto]],cálculos!$I$3:$L$50,3,0),0)</f>
        <v>6.75</v>
      </c>
      <c r="H12" s="6">
        <f>IFERROR(VendasSem2[[#This Row],[Quantidade]]*VendasSem2[[#This Row],[Preço Unitário]],0)</f>
        <v>337.5</v>
      </c>
      <c r="I12" s="11"/>
      <c r="J12" t="s">
        <v>110</v>
      </c>
      <c r="K12" s="6">
        <f>IF(VendasSem2[[#This Row],[Id da Venda]]=B13,0,(VLOOKUP(VendasSem2[[#This Row],[Região de Entrega]],cálculos!$B$5:$C$9,2,0)))</f>
        <v>0</v>
      </c>
      <c r="L12" s="6">
        <f>(VendasSem2[[#This Row],[Subtotal]]*(1-VendasSem2[[#This Row],[Desconto]])+VendasSem2[[#This Row],[Valor de Entrega]])</f>
        <v>337.5</v>
      </c>
      <c r="M12" s="6" t="str">
        <f>IF(VendasSem2[[#This Row],[Id da Venda]]=B13,"",SUMIF(VendasSem2[Id da Venda],VendasSem2[[#This Row],[Id da Venda]],VendasSem2[Total]))</f>
        <v/>
      </c>
    </row>
    <row r="13" spans="1:13" x14ac:dyDescent="0.25">
      <c r="B13">
        <v>22</v>
      </c>
      <c r="C13" s="7">
        <v>45184</v>
      </c>
      <c r="D13" t="s">
        <v>72</v>
      </c>
      <c r="E13" t="str">
        <f>IFERROR(VLOOKUP(VendasSem2[[#This Row],[Produto]],cálculos!$I$3:$L$50,4,0),"")</f>
        <v>Litro</v>
      </c>
      <c r="F13">
        <v>300</v>
      </c>
      <c r="G13" s="6">
        <f>IFERROR(VLOOKUP(VendasSem2[[#This Row],[Produto]],cálculos!$I$3:$L$50,3,0),0)</f>
        <v>2.39</v>
      </c>
      <c r="H13" s="6">
        <f>IFERROR(VendasSem2[[#This Row],[Quantidade]]*VendasSem2[[#This Row],[Preço Unitário]],0)</f>
        <v>717</v>
      </c>
      <c r="I13" s="11"/>
      <c r="J13" t="s">
        <v>110</v>
      </c>
      <c r="K13" s="6">
        <f>IF(VendasSem2[[#This Row],[Id da Venda]]=B14,0,(VLOOKUP(VendasSem2[[#This Row],[Região de Entrega]],cálculos!$B$5:$C$9,2,0)))</f>
        <v>0</v>
      </c>
      <c r="L13" s="6">
        <f>(VendasSem2[[#This Row],[Subtotal]]*(1-VendasSem2[[#This Row],[Desconto]])+VendasSem2[[#This Row],[Valor de Entrega]])</f>
        <v>717</v>
      </c>
      <c r="M13" s="6" t="str">
        <f>IF(VendasSem2[[#This Row],[Id da Venda]]=B14,"",SUMIF(VendasSem2[Id da Venda],VendasSem2[[#This Row],[Id da Venda]],VendasSem2[Total]))</f>
        <v/>
      </c>
    </row>
    <row r="14" spans="1:13" x14ac:dyDescent="0.25">
      <c r="B14">
        <v>22</v>
      </c>
      <c r="C14" s="7">
        <v>45184</v>
      </c>
      <c r="D14" t="s">
        <v>57</v>
      </c>
      <c r="E14" t="str">
        <f>IFERROR(VLOOKUP(VendasSem2[[#This Row],[Produto]],cálculos!$I$3:$L$50,4,0),"")</f>
        <v>Barra</v>
      </c>
      <c r="F14">
        <v>150</v>
      </c>
      <c r="G14" s="6">
        <f>IFERROR(VLOOKUP(VendasSem2[[#This Row],[Produto]],cálculos!$I$3:$L$50,3,0),0)</f>
        <v>4.99</v>
      </c>
      <c r="H14" s="6">
        <f>IFERROR(VendasSem2[[#This Row],[Quantidade]]*VendasSem2[[#This Row],[Preço Unitário]],0)</f>
        <v>748.5</v>
      </c>
      <c r="I14" s="11"/>
      <c r="J14" t="s">
        <v>110</v>
      </c>
      <c r="K14" s="6">
        <f>IF(VendasSem2[[#This Row],[Id da Venda]]=B15,0,(VLOOKUP(VendasSem2[[#This Row],[Região de Entrega]],cálculos!$B$5:$C$9,2,0)))</f>
        <v>0</v>
      </c>
      <c r="L14" s="6">
        <f>(VendasSem2[[#This Row],[Subtotal]]*(1-VendasSem2[[#This Row],[Desconto]])+VendasSem2[[#This Row],[Valor de Entrega]])</f>
        <v>748.5</v>
      </c>
      <c r="M14" s="6" t="str">
        <f>IF(VendasSem2[[#This Row],[Id da Venda]]=B15,"",SUMIF(VendasSem2[Id da Venda],VendasSem2[[#This Row],[Id da Venda]],VendasSem2[Total]))</f>
        <v/>
      </c>
    </row>
    <row r="15" spans="1:13" x14ac:dyDescent="0.25">
      <c r="B15">
        <v>22</v>
      </c>
      <c r="C15" s="7">
        <v>45184</v>
      </c>
      <c r="D15" t="s">
        <v>66</v>
      </c>
      <c r="E15" t="str">
        <f>IFERROR(VLOOKUP(VendasSem2[[#This Row],[Produto]],cálculos!$I$3:$L$50,4,0),"")</f>
        <v>Litro</v>
      </c>
      <c r="F15">
        <v>280</v>
      </c>
      <c r="G15" s="6">
        <f>IFERROR(VLOOKUP(VendasSem2[[#This Row],[Produto]],cálculos!$I$3:$L$50,3,0),0)</f>
        <v>1.49</v>
      </c>
      <c r="H15" s="6">
        <f>IFERROR(VendasSem2[[#This Row],[Quantidade]]*VendasSem2[[#This Row],[Preço Unitário]],0)</f>
        <v>417.2</v>
      </c>
      <c r="I15" s="11"/>
      <c r="J15" t="s">
        <v>110</v>
      </c>
      <c r="K15" s="6">
        <f>IF(VendasSem2[[#This Row],[Id da Venda]]=B16,0,(VLOOKUP(VendasSem2[[#This Row],[Região de Entrega]],cálculos!$B$5:$C$9,2,0)))</f>
        <v>12.8</v>
      </c>
      <c r="L15" s="6">
        <f>(VendasSem2[[#This Row],[Subtotal]]*(1-VendasSem2[[#This Row],[Desconto]])+VendasSem2[[#This Row],[Valor de Entrega]])</f>
        <v>430</v>
      </c>
      <c r="M15" s="6">
        <f>IF(VendasSem2[[#This Row],[Id da Venda]]=B16,"",SUMIF(VendasSem2[Id da Venda],VendasSem2[[#This Row],[Id da Venda]],VendasSem2[Total]))</f>
        <v>5770.5</v>
      </c>
    </row>
    <row r="16" spans="1:13" x14ac:dyDescent="0.25">
      <c r="B16">
        <v>19</v>
      </c>
      <c r="C16" s="7">
        <v>45183</v>
      </c>
      <c r="D16" t="s">
        <v>66</v>
      </c>
      <c r="E16" t="str">
        <f>IFERROR(VLOOKUP(VendasSem2[[#This Row],[Produto]],cálculos!$I$3:$L$50,4,0),"")</f>
        <v>Litro</v>
      </c>
      <c r="F16">
        <v>36</v>
      </c>
      <c r="G16" s="6">
        <f>IFERROR(VLOOKUP(VendasSem2[[#This Row],[Produto]],cálculos!$I$3:$L$50,3,0),0)</f>
        <v>1.49</v>
      </c>
      <c r="H16" s="6">
        <f>IFERROR(VendasSem2[[#This Row],[Quantidade]]*VendasSem2[[#This Row],[Preço Unitário]],0)</f>
        <v>53.64</v>
      </c>
      <c r="I16" s="11"/>
      <c r="J16" t="s">
        <v>109</v>
      </c>
      <c r="K16" s="6">
        <f>IF(VendasSem2[[#This Row],[Id da Venda]]=B17,0,(VLOOKUP(VendasSem2[[#This Row],[Região de Entrega]],cálculos!$B$5:$C$9,2,0)))</f>
        <v>0</v>
      </c>
      <c r="L16" s="6">
        <f>(VendasSem2[[#This Row],[Subtotal]]*(1-VendasSem2[[#This Row],[Desconto]])+VendasSem2[[#This Row],[Valor de Entrega]])</f>
        <v>53.64</v>
      </c>
      <c r="M16" s="6">
        <f>IF(VendasSem2[[#This Row],[Id da Venda]]=B17,"",SUMIF(VendasSem2[Id da Venda],VendasSem2[[#This Row],[Id da Venda]],VendasSem2[Total]))</f>
        <v>53.64</v>
      </c>
    </row>
    <row r="17" spans="2:13" x14ac:dyDescent="0.25">
      <c r="B17">
        <v>18</v>
      </c>
      <c r="C17" s="7">
        <v>45182</v>
      </c>
      <c r="D17" t="s">
        <v>34</v>
      </c>
      <c r="E17" t="str">
        <f>IFERROR(VLOOKUP(VendasSem2[[#This Row],[Produto]],cálculos!$I$3:$L$50,4,0),"")</f>
        <v>Kg</v>
      </c>
      <c r="F17">
        <v>5</v>
      </c>
      <c r="G17" s="6">
        <f>IFERROR(VLOOKUP(VendasSem2[[#This Row],[Produto]],cálculos!$I$3:$L$50,3,0),0)</f>
        <v>5.82</v>
      </c>
      <c r="H17" s="6">
        <f>IFERROR(VendasSem2[[#This Row],[Quantidade]]*VendasSem2[[#This Row],[Preço Unitário]],0)</f>
        <v>29.1</v>
      </c>
      <c r="I17" s="11"/>
      <c r="J17" t="s">
        <v>109</v>
      </c>
      <c r="K17" s="6">
        <f>IF(VendasSem2[[#This Row],[Id da Venda]]=B18,0,(VLOOKUP(VendasSem2[[#This Row],[Região de Entrega]],cálculos!$B$5:$C$9,2,0)))</f>
        <v>0</v>
      </c>
      <c r="L17" s="6">
        <f>(VendasSem2[[#This Row],[Subtotal]]*(1-VendasSem2[[#This Row],[Desconto]])+VendasSem2[[#This Row],[Valor de Entrega]])</f>
        <v>29.1</v>
      </c>
      <c r="M17" s="6" t="str">
        <f>IF(VendasSem2[[#This Row],[Id da Venda]]=B18,"",SUMIF(VendasSem2[Id da Venda],VendasSem2[[#This Row],[Id da Venda]],VendasSem2[Total]))</f>
        <v/>
      </c>
    </row>
    <row r="18" spans="2:13" x14ac:dyDescent="0.25">
      <c r="B18">
        <v>18</v>
      </c>
      <c r="C18" s="7">
        <v>45182</v>
      </c>
      <c r="D18" t="s">
        <v>43</v>
      </c>
      <c r="E18" t="str">
        <f>IFERROR(VLOOKUP(VendasSem2[[#This Row],[Produto]],cálculos!$I$3:$L$50,4,0),"")</f>
        <v>Kg</v>
      </c>
      <c r="F18">
        <v>3</v>
      </c>
      <c r="G18" s="6">
        <f>IFERROR(VLOOKUP(VendasSem2[[#This Row],[Produto]],cálculos!$I$3:$L$50,3,0),0)</f>
        <v>9.58</v>
      </c>
      <c r="H18" s="6">
        <f>IFERROR(VendasSem2[[#This Row],[Quantidade]]*VendasSem2[[#This Row],[Preço Unitário]],0)</f>
        <v>28.740000000000002</v>
      </c>
      <c r="I18" s="11"/>
      <c r="J18" t="s">
        <v>109</v>
      </c>
      <c r="K18" s="6">
        <f>IF(VendasSem2[[#This Row],[Id da Venda]]=B19,0,(VLOOKUP(VendasSem2[[#This Row],[Região de Entrega]],cálculos!$B$5:$C$9,2,0)))</f>
        <v>0</v>
      </c>
      <c r="L18" s="6">
        <f>(VendasSem2[[#This Row],[Subtotal]]*(1-VendasSem2[[#This Row],[Desconto]])+VendasSem2[[#This Row],[Valor de Entrega]])</f>
        <v>28.740000000000002</v>
      </c>
      <c r="M18" s="6" t="str">
        <f>IF(VendasSem2[[#This Row],[Id da Venda]]=B19,"",SUMIF(VendasSem2[Id da Venda],VendasSem2[[#This Row],[Id da Venda]],VendasSem2[Total]))</f>
        <v/>
      </c>
    </row>
    <row r="19" spans="2:13" x14ac:dyDescent="0.25">
      <c r="B19">
        <v>18</v>
      </c>
      <c r="C19" s="7">
        <v>45182</v>
      </c>
      <c r="D19" t="s">
        <v>42</v>
      </c>
      <c r="E19" t="str">
        <f>IFERROR(VLOOKUP(VendasSem2[[#This Row],[Produto]],cálculos!$I$3:$L$50,4,0),"")</f>
        <v>Kg</v>
      </c>
      <c r="F19">
        <v>5</v>
      </c>
      <c r="G19" s="6">
        <f>IFERROR(VLOOKUP(VendasSem2[[#This Row],[Produto]],cálculos!$I$3:$L$50,3,0),0)</f>
        <v>3.99</v>
      </c>
      <c r="H19" s="6">
        <f>IFERROR(VendasSem2[[#This Row],[Quantidade]]*VendasSem2[[#This Row],[Preço Unitário]],0)</f>
        <v>19.950000000000003</v>
      </c>
      <c r="I19" s="11"/>
      <c r="J19" t="s">
        <v>109</v>
      </c>
      <c r="K19" s="6">
        <f>IF(VendasSem2[[#This Row],[Id da Venda]]=B20,0,(VLOOKUP(VendasSem2[[#This Row],[Região de Entrega]],cálculos!$B$5:$C$9,2,0)))</f>
        <v>0</v>
      </c>
      <c r="L19" s="6">
        <f>(VendasSem2[[#This Row],[Subtotal]]*(1-VendasSem2[[#This Row],[Desconto]])+VendasSem2[[#This Row],[Valor de Entrega]])</f>
        <v>19.950000000000003</v>
      </c>
      <c r="M19" s="6" t="str">
        <f>IF(VendasSem2[[#This Row],[Id da Venda]]=B20,"",SUMIF(VendasSem2[Id da Venda],VendasSem2[[#This Row],[Id da Venda]],VendasSem2[Total]))</f>
        <v/>
      </c>
    </row>
    <row r="20" spans="2:13" x14ac:dyDescent="0.25">
      <c r="B20">
        <v>18</v>
      </c>
      <c r="C20" s="7">
        <v>45182</v>
      </c>
      <c r="D20" t="s">
        <v>47</v>
      </c>
      <c r="E20" t="str">
        <f>IFERROR(VLOOKUP(VendasSem2[[#This Row],[Produto]],cálculos!$I$3:$L$50,4,0),"")</f>
        <v>Unidade</v>
      </c>
      <c r="F20">
        <v>3</v>
      </c>
      <c r="G20" s="6">
        <f>IFERROR(VLOOKUP(VendasSem2[[#This Row],[Produto]],cálculos!$I$3:$L$50,3,0),0)</f>
        <v>2.6</v>
      </c>
      <c r="H20" s="6">
        <f>IFERROR(VendasSem2[[#This Row],[Quantidade]]*VendasSem2[[#This Row],[Preço Unitário]],0)</f>
        <v>7.8000000000000007</v>
      </c>
      <c r="I20" s="11"/>
      <c r="J20" t="s">
        <v>109</v>
      </c>
      <c r="K20" s="6">
        <f>IF(VendasSem2[[#This Row],[Id da Venda]]=B21,0,(VLOOKUP(VendasSem2[[#This Row],[Região de Entrega]],cálculos!$B$5:$C$9,2,0)))</f>
        <v>0</v>
      </c>
      <c r="L20" s="6">
        <f>(VendasSem2[[#This Row],[Subtotal]]*(1-VendasSem2[[#This Row],[Desconto]])+VendasSem2[[#This Row],[Valor de Entrega]])</f>
        <v>7.8000000000000007</v>
      </c>
      <c r="M20" s="6">
        <f>IF(VendasSem2[[#This Row],[Id da Venda]]=B21,"",SUMIF(VendasSem2[Id da Venda],VendasSem2[[#This Row],[Id da Venda]],VendasSem2[Total]))</f>
        <v>85.59</v>
      </c>
    </row>
    <row r="21" spans="2:13" x14ac:dyDescent="0.25">
      <c r="B21">
        <v>17</v>
      </c>
      <c r="C21" s="7">
        <v>45181</v>
      </c>
      <c r="D21" t="s">
        <v>45</v>
      </c>
      <c r="E21" t="str">
        <f>IFERROR(VLOOKUP(VendasSem2[[#This Row],[Produto]],cálculos!$I$3:$L$50,4,0),"")</f>
        <v>Lata</v>
      </c>
      <c r="F21">
        <v>5</v>
      </c>
      <c r="G21" s="6">
        <f>IFERROR(VLOOKUP(VendasSem2[[#This Row],[Produto]],cálculos!$I$3:$L$50,3,0),0)</f>
        <v>2.19</v>
      </c>
      <c r="H21" s="6">
        <f>IFERROR(VendasSem2[[#This Row],[Quantidade]]*VendasSem2[[#This Row],[Preço Unitário]],0)</f>
        <v>10.95</v>
      </c>
      <c r="I21" s="11"/>
      <c r="J21" t="s">
        <v>109</v>
      </c>
      <c r="K21" s="6">
        <f>IF(VendasSem2[[#This Row],[Id da Venda]]=B22,0,(VLOOKUP(VendasSem2[[#This Row],[Região de Entrega]],cálculos!$B$5:$C$9,2,0)))</f>
        <v>0</v>
      </c>
      <c r="L21" s="6">
        <f>(VendasSem2[[#This Row],[Subtotal]]*(1-VendasSem2[[#This Row],[Desconto]])+VendasSem2[[#This Row],[Valor de Entrega]])</f>
        <v>10.95</v>
      </c>
      <c r="M21" s="6">
        <f>IF(VendasSem2[[#This Row],[Id da Venda]]=B22,"",SUMIF(VendasSem2[Id da Venda],VendasSem2[[#This Row],[Id da Venda]],VendasSem2[Total]))</f>
        <v>10.95</v>
      </c>
    </row>
    <row r="22" spans="2:13" x14ac:dyDescent="0.25">
      <c r="B22">
        <v>16</v>
      </c>
      <c r="C22" s="7">
        <v>45180</v>
      </c>
      <c r="D22" t="s">
        <v>32</v>
      </c>
      <c r="E22" t="str">
        <f>IFERROR(VLOOKUP(VendasSem2[[#This Row],[Produto]],cálculos!$I$3:$L$50,4,0),"")</f>
        <v>Kg</v>
      </c>
      <c r="F22">
        <v>15</v>
      </c>
      <c r="G22" s="6">
        <f>IFERROR(VLOOKUP(VendasSem2[[#This Row],[Produto]],cálculos!$I$3:$L$50,3,0),0)</f>
        <v>2.4900000000000002</v>
      </c>
      <c r="H22" s="6">
        <f>IFERROR(VendasSem2[[#This Row],[Quantidade]]*VendasSem2[[#This Row],[Preço Unitário]],0)</f>
        <v>37.35</v>
      </c>
      <c r="I22" s="11"/>
      <c r="J22" t="s">
        <v>108</v>
      </c>
      <c r="K22" s="6">
        <f>IF(VendasSem2[[#This Row],[Id da Venda]]=B23,0,(VLOOKUP(VendasSem2[[#This Row],[Região de Entrega]],cálculos!$B$5:$C$9,2,0)))</f>
        <v>0</v>
      </c>
      <c r="L22" s="6">
        <f>(VendasSem2[[#This Row],[Subtotal]]*(1-VendasSem2[[#This Row],[Desconto]])+VendasSem2[[#This Row],[Valor de Entrega]])</f>
        <v>37.35</v>
      </c>
      <c r="M22" s="6" t="str">
        <f>IF(VendasSem2[[#This Row],[Id da Venda]]=B23,"",SUMIF(VendasSem2[Id da Venda],VendasSem2[[#This Row],[Id da Venda]],VendasSem2[Total]))</f>
        <v/>
      </c>
    </row>
    <row r="23" spans="2:13" x14ac:dyDescent="0.25">
      <c r="B23">
        <v>16</v>
      </c>
      <c r="C23" s="7">
        <v>45180</v>
      </c>
      <c r="D23" t="s">
        <v>33</v>
      </c>
      <c r="E23" t="str">
        <f>IFERROR(VLOOKUP(VendasSem2[[#This Row],[Produto]],cálculos!$I$3:$L$50,4,0),"")</f>
        <v>Kg</v>
      </c>
      <c r="F23">
        <v>8</v>
      </c>
      <c r="G23" s="6">
        <f>IFERROR(VLOOKUP(VendasSem2[[#This Row],[Produto]],cálculos!$I$3:$L$50,3,0),0)</f>
        <v>4.28</v>
      </c>
      <c r="H23" s="6">
        <f>IFERROR(VendasSem2[[#This Row],[Quantidade]]*VendasSem2[[#This Row],[Preço Unitário]],0)</f>
        <v>34.24</v>
      </c>
      <c r="I23" s="11"/>
      <c r="J23" t="s">
        <v>108</v>
      </c>
      <c r="K23" s="6">
        <f>IF(VendasSem2[[#This Row],[Id da Venda]]=B24,0,(VLOOKUP(VendasSem2[[#This Row],[Região de Entrega]],cálculos!$B$5:$C$9,2,0)))</f>
        <v>0</v>
      </c>
      <c r="L23" s="6">
        <f>(VendasSem2[[#This Row],[Subtotal]]*(1-VendasSem2[[#This Row],[Desconto]])+VendasSem2[[#This Row],[Valor de Entrega]])</f>
        <v>34.24</v>
      </c>
      <c r="M23" s="6" t="str">
        <f>IF(VendasSem2[[#This Row],[Id da Venda]]=B24,"",SUMIF(VendasSem2[Id da Venda],VendasSem2[[#This Row],[Id da Venda]],VendasSem2[Total]))</f>
        <v/>
      </c>
    </row>
    <row r="24" spans="2:13" x14ac:dyDescent="0.25">
      <c r="B24">
        <v>16</v>
      </c>
      <c r="C24" s="7">
        <v>45180</v>
      </c>
      <c r="D24" t="s">
        <v>36</v>
      </c>
      <c r="E24" t="str">
        <f>IFERROR(VLOOKUP(VendasSem2[[#This Row],[Produto]],cálculos!$I$3:$L$50,4,0),"")</f>
        <v>Kg</v>
      </c>
      <c r="F24">
        <v>12</v>
      </c>
      <c r="G24" s="6">
        <f>IFERROR(VLOOKUP(VendasSem2[[#This Row],[Produto]],cálculos!$I$3:$L$50,3,0),0)</f>
        <v>15.9</v>
      </c>
      <c r="H24" s="6">
        <f>IFERROR(VendasSem2[[#This Row],[Quantidade]]*VendasSem2[[#This Row],[Preço Unitário]],0)</f>
        <v>190.8</v>
      </c>
      <c r="I24" s="11"/>
      <c r="J24" t="s">
        <v>108</v>
      </c>
      <c r="K24" s="6">
        <f>IF(VendasSem2[[#This Row],[Id da Venda]]=B25,0,(VLOOKUP(VendasSem2[[#This Row],[Região de Entrega]],cálculos!$B$5:$C$9,2,0)))</f>
        <v>0</v>
      </c>
      <c r="L24" s="6">
        <f>(VendasSem2[[#This Row],[Subtotal]]*(1-VendasSem2[[#This Row],[Desconto]])+VendasSem2[[#This Row],[Valor de Entrega]])</f>
        <v>190.8</v>
      </c>
      <c r="M24" s="6" t="str">
        <f>IF(VendasSem2[[#This Row],[Id da Venda]]=B25,"",SUMIF(VendasSem2[Id da Venda],VendasSem2[[#This Row],[Id da Venda]],VendasSem2[Total]))</f>
        <v/>
      </c>
    </row>
    <row r="25" spans="2:13" x14ac:dyDescent="0.25">
      <c r="B25">
        <v>16</v>
      </c>
      <c r="C25" s="7">
        <v>45180</v>
      </c>
      <c r="D25" t="s">
        <v>38</v>
      </c>
      <c r="E25" t="str">
        <f>IFERROR(VLOOKUP(VendasSem2[[#This Row],[Produto]],cálculos!$I$3:$L$50,4,0),"")</f>
        <v>Kg</v>
      </c>
      <c r="F25">
        <v>5</v>
      </c>
      <c r="G25" s="6">
        <f>IFERROR(VLOOKUP(VendasSem2[[#This Row],[Produto]],cálculos!$I$3:$L$50,3,0),0)</f>
        <v>23.9</v>
      </c>
      <c r="H25" s="6">
        <f>IFERROR(VendasSem2[[#This Row],[Quantidade]]*VendasSem2[[#This Row],[Preço Unitário]],0)</f>
        <v>119.5</v>
      </c>
      <c r="I25" s="11"/>
      <c r="J25" t="s">
        <v>108</v>
      </c>
      <c r="K25" s="6">
        <f>IF(VendasSem2[[#This Row],[Id da Venda]]=B26,0,(VLOOKUP(VendasSem2[[#This Row],[Região de Entrega]],cálculos!$B$5:$C$9,2,0)))</f>
        <v>0</v>
      </c>
      <c r="L25" s="6">
        <f>(VendasSem2[[#This Row],[Subtotal]]*(1-VendasSem2[[#This Row],[Desconto]])+VendasSem2[[#This Row],[Valor de Entrega]])</f>
        <v>119.5</v>
      </c>
      <c r="M25" s="6" t="str">
        <f>IF(VendasSem2[[#This Row],[Id da Venda]]=B26,"",SUMIF(VendasSem2[Id da Venda],VendasSem2[[#This Row],[Id da Venda]],VendasSem2[Total]))</f>
        <v/>
      </c>
    </row>
    <row r="26" spans="2:13" x14ac:dyDescent="0.25">
      <c r="B26">
        <v>16</v>
      </c>
      <c r="C26" s="7">
        <v>45180</v>
      </c>
      <c r="D26" t="s">
        <v>66</v>
      </c>
      <c r="E26" t="str">
        <f>IFERROR(VLOOKUP(VendasSem2[[#This Row],[Produto]],cálculos!$I$3:$L$50,4,0),"")</f>
        <v>Litro</v>
      </c>
      <c r="F26">
        <v>8</v>
      </c>
      <c r="G26" s="6">
        <f>IFERROR(VLOOKUP(VendasSem2[[#This Row],[Produto]],cálculos!$I$3:$L$50,3,0),0)</f>
        <v>1.49</v>
      </c>
      <c r="H26" s="6">
        <f>IFERROR(VendasSem2[[#This Row],[Quantidade]]*VendasSem2[[#This Row],[Preço Unitário]],0)</f>
        <v>11.92</v>
      </c>
      <c r="I26" s="11"/>
      <c r="J26" t="s">
        <v>108</v>
      </c>
      <c r="K26" s="6">
        <f>IF(VendasSem2[[#This Row],[Id da Venda]]=B27,0,(VLOOKUP(VendasSem2[[#This Row],[Região de Entrega]],cálculos!$B$5:$C$9,2,0)))</f>
        <v>0</v>
      </c>
      <c r="L26" s="6">
        <f>(VendasSem2[[#This Row],[Subtotal]]*(1-VendasSem2[[#This Row],[Desconto]])+VendasSem2[[#This Row],[Valor de Entrega]])</f>
        <v>11.92</v>
      </c>
      <c r="M26" s="6" t="str">
        <f>IF(VendasSem2[[#This Row],[Id da Venda]]=B27,"",SUMIF(VendasSem2[Id da Venda],VendasSem2[[#This Row],[Id da Venda]],VendasSem2[Total]))</f>
        <v/>
      </c>
    </row>
    <row r="27" spans="2:13" x14ac:dyDescent="0.25">
      <c r="B27">
        <v>16</v>
      </c>
      <c r="C27" s="7">
        <v>45180</v>
      </c>
      <c r="D27" t="s">
        <v>56</v>
      </c>
      <c r="E27" t="str">
        <f>IFERROR(VLOOKUP(VendasSem2[[#This Row],[Produto]],cálculos!$I$3:$L$50,4,0),"")</f>
        <v>Pacote</v>
      </c>
      <c r="F27">
        <v>2</v>
      </c>
      <c r="G27" s="6">
        <f>IFERROR(VLOOKUP(VendasSem2[[#This Row],[Produto]],cálculos!$I$3:$L$50,3,0),0)</f>
        <v>1.99</v>
      </c>
      <c r="H27" s="6">
        <f>IFERROR(VendasSem2[[#This Row],[Quantidade]]*VendasSem2[[#This Row],[Preço Unitário]],0)</f>
        <v>3.98</v>
      </c>
      <c r="I27" s="11"/>
      <c r="J27" t="s">
        <v>108</v>
      </c>
      <c r="K27" s="6">
        <f>IF(VendasSem2[[#This Row],[Id da Venda]]=B28,0,(VLOOKUP(VendasSem2[[#This Row],[Região de Entrega]],cálculos!$B$5:$C$9,2,0)))</f>
        <v>0</v>
      </c>
      <c r="L27" s="6">
        <f>(VendasSem2[[#This Row],[Subtotal]]*(1-VendasSem2[[#This Row],[Desconto]])+VendasSem2[[#This Row],[Valor de Entrega]])</f>
        <v>3.98</v>
      </c>
      <c r="M27" s="6" t="str">
        <f>IF(VendasSem2[[#This Row],[Id da Venda]]=B28,"",SUMIF(VendasSem2[Id da Venda],VendasSem2[[#This Row],[Id da Venda]],VendasSem2[Total]))</f>
        <v/>
      </c>
    </row>
    <row r="28" spans="2:13" x14ac:dyDescent="0.25">
      <c r="B28">
        <v>16</v>
      </c>
      <c r="C28" s="7">
        <v>45180</v>
      </c>
      <c r="D28" t="s">
        <v>42</v>
      </c>
      <c r="E28" t="str">
        <f>IFERROR(VLOOKUP(VendasSem2[[#This Row],[Produto]],cálculos!$I$3:$L$50,4,0),"")</f>
        <v>Kg</v>
      </c>
      <c r="F28">
        <v>3</v>
      </c>
      <c r="G28" s="6">
        <f>IFERROR(VLOOKUP(VendasSem2[[#This Row],[Produto]],cálculos!$I$3:$L$50,3,0),0)</f>
        <v>3.99</v>
      </c>
      <c r="H28" s="6">
        <f>IFERROR(VendasSem2[[#This Row],[Quantidade]]*VendasSem2[[#This Row],[Preço Unitário]],0)</f>
        <v>11.97</v>
      </c>
      <c r="I28" s="11"/>
      <c r="J28" t="s">
        <v>108</v>
      </c>
      <c r="K28" s="6">
        <f>IF(VendasSem2[[#This Row],[Id da Venda]]=B29,0,(VLOOKUP(VendasSem2[[#This Row],[Região de Entrega]],cálculos!$B$5:$C$9,2,0)))</f>
        <v>0</v>
      </c>
      <c r="L28" s="6">
        <f>(VendasSem2[[#This Row],[Subtotal]]*(1-VendasSem2[[#This Row],[Desconto]])+VendasSem2[[#This Row],[Valor de Entrega]])</f>
        <v>11.97</v>
      </c>
      <c r="M28" s="6" t="str">
        <f>IF(VendasSem2[[#This Row],[Id da Venda]]=B29,"",SUMIF(VendasSem2[Id da Venda],VendasSem2[[#This Row],[Id da Venda]],VendasSem2[Total]))</f>
        <v/>
      </c>
    </row>
    <row r="29" spans="2:13" x14ac:dyDescent="0.25">
      <c r="B29">
        <v>16</v>
      </c>
      <c r="C29" s="7">
        <v>45180</v>
      </c>
      <c r="D29" t="s">
        <v>47</v>
      </c>
      <c r="E29" t="str">
        <f>IFERROR(VLOOKUP(VendasSem2[[#This Row],[Produto]],cálculos!$I$3:$L$50,4,0),"")</f>
        <v>Unidade</v>
      </c>
      <c r="F29">
        <v>3</v>
      </c>
      <c r="G29" s="6">
        <f>IFERROR(VLOOKUP(VendasSem2[[#This Row],[Produto]],cálculos!$I$3:$L$50,3,0),0)</f>
        <v>2.6</v>
      </c>
      <c r="H29" s="6">
        <f>IFERROR(VendasSem2[[#This Row],[Quantidade]]*VendasSem2[[#This Row],[Preço Unitário]],0)</f>
        <v>7.8000000000000007</v>
      </c>
      <c r="I29" s="11"/>
      <c r="J29" t="s">
        <v>108</v>
      </c>
      <c r="K29" s="6">
        <f>IF(VendasSem2[[#This Row],[Id da Venda]]=B30,0,(VLOOKUP(VendasSem2[[#This Row],[Região de Entrega]],cálculos!$B$5:$C$9,2,0)))</f>
        <v>0</v>
      </c>
      <c r="L29" s="6">
        <f>(VendasSem2[[#This Row],[Subtotal]]*(1-VendasSem2[[#This Row],[Desconto]])+VendasSem2[[#This Row],[Valor de Entrega]])</f>
        <v>7.8000000000000007</v>
      </c>
      <c r="M29" s="6" t="str">
        <f>IF(VendasSem2[[#This Row],[Id da Venda]]=B30,"",SUMIF(VendasSem2[Id da Venda],VendasSem2[[#This Row],[Id da Venda]],VendasSem2[Total]))</f>
        <v/>
      </c>
    </row>
    <row r="30" spans="2:13" x14ac:dyDescent="0.25">
      <c r="B30">
        <v>16</v>
      </c>
      <c r="C30" s="7">
        <v>45180</v>
      </c>
      <c r="D30" t="s">
        <v>37</v>
      </c>
      <c r="E30" t="str">
        <f>IFERROR(VLOOKUP(VendasSem2[[#This Row],[Produto]],cálculos!$I$3:$L$50,4,0),"")</f>
        <v>Kg</v>
      </c>
      <c r="F30">
        <v>6</v>
      </c>
      <c r="G30" s="6">
        <f>IFERROR(VLOOKUP(VendasSem2[[#This Row],[Produto]],cálculos!$I$3:$L$50,3,0),0)</f>
        <v>6.98</v>
      </c>
      <c r="H30" s="6">
        <f>IFERROR(VendasSem2[[#This Row],[Quantidade]]*VendasSem2[[#This Row],[Preço Unitário]],0)</f>
        <v>41.88</v>
      </c>
      <c r="I30" s="11"/>
      <c r="J30" t="s">
        <v>108</v>
      </c>
      <c r="K30" s="6">
        <f>IF(VendasSem2[[#This Row],[Id da Venda]]=B31,0,(VLOOKUP(VendasSem2[[#This Row],[Região de Entrega]],cálculos!$B$5:$C$9,2,0)))</f>
        <v>0</v>
      </c>
      <c r="L30" s="6">
        <f>(VendasSem2[[#This Row],[Subtotal]]*(1-VendasSem2[[#This Row],[Desconto]])+VendasSem2[[#This Row],[Valor de Entrega]])</f>
        <v>41.88</v>
      </c>
      <c r="M30" s="6" t="str">
        <f>IF(VendasSem2[[#This Row],[Id da Venda]]=B31,"",SUMIF(VendasSem2[Id da Venda],VendasSem2[[#This Row],[Id da Venda]],VendasSem2[Total]))</f>
        <v/>
      </c>
    </row>
    <row r="31" spans="2:13" x14ac:dyDescent="0.25">
      <c r="B31">
        <v>16</v>
      </c>
      <c r="C31" s="7">
        <v>45180</v>
      </c>
      <c r="D31" t="s">
        <v>71</v>
      </c>
      <c r="E31" t="str">
        <f>IFERROR(VLOOKUP(VendasSem2[[#This Row],[Produto]],cálculos!$I$3:$L$50,4,0),"")</f>
        <v>Unidade</v>
      </c>
      <c r="F31">
        <v>2</v>
      </c>
      <c r="G31" s="6">
        <f>IFERROR(VLOOKUP(VendasSem2[[#This Row],[Produto]],cálculos!$I$3:$L$50,3,0),0)</f>
        <v>2.89</v>
      </c>
      <c r="H31" s="6">
        <f>IFERROR(VendasSem2[[#This Row],[Quantidade]]*VendasSem2[[#This Row],[Preço Unitário]],0)</f>
        <v>5.78</v>
      </c>
      <c r="I31" s="11"/>
      <c r="J31" t="s">
        <v>108</v>
      </c>
      <c r="K31" s="6">
        <f>IF(VendasSem2[[#This Row],[Id da Venda]]=B32,0,(VLOOKUP(VendasSem2[[#This Row],[Região de Entrega]],cálculos!$B$5:$C$9,2,0)))</f>
        <v>10</v>
      </c>
      <c r="L31" s="6">
        <f>(VendasSem2[[#This Row],[Subtotal]]*(1-VendasSem2[[#This Row],[Desconto]])+VendasSem2[[#This Row],[Valor de Entrega]])</f>
        <v>15.780000000000001</v>
      </c>
      <c r="M31" s="6">
        <f>IF(VendasSem2[[#This Row],[Id da Venda]]=B32,"",SUMIF(VendasSem2[Id da Venda],VendasSem2[[#This Row],[Id da Venda]],VendasSem2[Total]))</f>
        <v>475.22</v>
      </c>
    </row>
    <row r="32" spans="2:13" x14ac:dyDescent="0.25">
      <c r="H32" s="6"/>
    </row>
    <row r="33" spans="2:13" ht="18.75" x14ac:dyDescent="0.3">
      <c r="B33" s="26" t="s">
        <v>113</v>
      </c>
      <c r="C33" s="27"/>
      <c r="D33" s="27"/>
      <c r="E33" s="28"/>
      <c r="F33" s="27"/>
      <c r="G33" s="27"/>
      <c r="H33" s="27"/>
      <c r="I33" s="27"/>
      <c r="J33" s="27"/>
      <c r="K33" s="27"/>
      <c r="L33" s="27"/>
      <c r="M33" s="29" cm="1">
        <f t="array" ref="M33">SUM(VendasSem2[Total]-M34)</f>
        <v>5720.5099999999975</v>
      </c>
    </row>
    <row r="34" spans="2:13" ht="18.75" x14ac:dyDescent="0.3">
      <c r="B34" s="30" t="s">
        <v>114</v>
      </c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2">
        <f>SUM(VendasSem2[Valor de Entrega])</f>
        <v>29.8</v>
      </c>
    </row>
    <row r="35" spans="2:13" ht="18.75" x14ac:dyDescent="0.3">
      <c r="B35" s="30" t="s">
        <v>149</v>
      </c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52" cm="1">
        <f t="array" ref="M35">SUM(IF(FREQUENCY(VendasSem2[Id da Venda],VendasSem2[Id da Venda])&gt;0,1,0))</f>
        <v>7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8D9779B-CF78-4905-898D-4A0FB4F19739}">
          <x14:formula1>
            <xm:f>cálculos!$B$5:$B$9</xm:f>
          </x14:formula1>
          <xm:sqref>J5:J31</xm:sqref>
        </x14:dataValidation>
        <x14:dataValidation type="list" allowBlank="1" showInputMessage="1" showErrorMessage="1" xr:uid="{61A9B48B-B846-4349-B74F-E50D29133368}">
          <x14:formula1>
            <xm:f>cálculos!$I$3:$I$100</xm:f>
          </x14:formula1>
          <xm:sqref>D5:D31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09F18-AD79-4B3E-B979-F42E0E497A1A}">
  <dimension ref="A4:J43"/>
  <sheetViews>
    <sheetView showGridLines="0" workbookViewId="0">
      <selection activeCell="E12" sqref="E12"/>
    </sheetView>
  </sheetViews>
  <sheetFormatPr defaultRowHeight="15" x14ac:dyDescent="0.25"/>
  <cols>
    <col min="1" max="1" width="19.42578125" bestFit="1" customWidth="1"/>
    <col min="2" max="2" width="19.85546875" bestFit="1" customWidth="1"/>
    <col min="3" max="3" width="13.7109375" bestFit="1" customWidth="1"/>
    <col min="7" max="7" width="18.42578125" bestFit="1" customWidth="1"/>
    <col min="8" max="8" width="19.85546875" bestFit="1" customWidth="1"/>
    <col min="9" max="9" width="24.140625" bestFit="1" customWidth="1"/>
    <col min="10" max="10" width="13.7109375" bestFit="1" customWidth="1"/>
  </cols>
  <sheetData>
    <row r="4" spans="1:10" x14ac:dyDescent="0.25">
      <c r="A4" s="75" t="s">
        <v>167</v>
      </c>
      <c r="B4" t="s">
        <v>169</v>
      </c>
      <c r="C4" t="s">
        <v>170</v>
      </c>
      <c r="G4" s="75" t="s">
        <v>167</v>
      </c>
      <c r="H4" t="s">
        <v>169</v>
      </c>
      <c r="I4" t="s">
        <v>171</v>
      </c>
      <c r="J4" t="s">
        <v>170</v>
      </c>
    </row>
    <row r="5" spans="1:10" x14ac:dyDescent="0.25">
      <c r="A5" s="76">
        <v>45171</v>
      </c>
      <c r="B5">
        <v>17</v>
      </c>
      <c r="C5" s="77">
        <v>70.63300000000001</v>
      </c>
      <c r="G5" s="79" t="s">
        <v>108</v>
      </c>
      <c r="H5">
        <v>2</v>
      </c>
      <c r="I5" s="77">
        <v>10</v>
      </c>
      <c r="J5" s="77">
        <v>15.780000000000001</v>
      </c>
    </row>
    <row r="6" spans="1:10" x14ac:dyDescent="0.25">
      <c r="A6" s="78" t="s">
        <v>32</v>
      </c>
      <c r="B6">
        <v>10</v>
      </c>
      <c r="C6" s="77">
        <v>34.153000000000006</v>
      </c>
      <c r="G6" s="79" t="s">
        <v>109</v>
      </c>
      <c r="H6">
        <v>46</v>
      </c>
      <c r="I6" s="77">
        <v>0</v>
      </c>
      <c r="J6" s="77">
        <v>85.89</v>
      </c>
    </row>
    <row r="7" spans="1:10" x14ac:dyDescent="0.25">
      <c r="A7" s="78" t="s">
        <v>48</v>
      </c>
      <c r="B7">
        <v>2</v>
      </c>
      <c r="C7" s="77">
        <v>1.58</v>
      </c>
      <c r="G7" s="79" t="s">
        <v>110</v>
      </c>
      <c r="H7">
        <v>280</v>
      </c>
      <c r="I7" s="77">
        <v>12.8</v>
      </c>
      <c r="J7" s="77">
        <v>430</v>
      </c>
    </row>
    <row r="8" spans="1:10" x14ac:dyDescent="0.25">
      <c r="A8" s="78" t="s">
        <v>37</v>
      </c>
      <c r="B8">
        <v>5</v>
      </c>
      <c r="C8" s="77">
        <v>34.900000000000006</v>
      </c>
      <c r="G8" s="79" t="s">
        <v>112</v>
      </c>
      <c r="H8">
        <v>24</v>
      </c>
      <c r="I8" s="77">
        <v>7</v>
      </c>
      <c r="J8" s="77">
        <v>42.76</v>
      </c>
    </row>
    <row r="9" spans="1:10" x14ac:dyDescent="0.25">
      <c r="A9" s="76">
        <v>45173</v>
      </c>
      <c r="B9">
        <v>40</v>
      </c>
      <c r="C9" s="77">
        <v>87.6</v>
      </c>
      <c r="G9" s="79" t="s">
        <v>172</v>
      </c>
      <c r="H9">
        <v>940</v>
      </c>
      <c r="I9" s="77">
        <v>0</v>
      </c>
      <c r="J9" s="77">
        <v>5950.68</v>
      </c>
    </row>
    <row r="10" spans="1:10" x14ac:dyDescent="0.25">
      <c r="A10" s="78" t="s">
        <v>45</v>
      </c>
      <c r="B10">
        <v>40</v>
      </c>
      <c r="C10" s="77">
        <v>87.6</v>
      </c>
      <c r="G10" s="79" t="s">
        <v>168</v>
      </c>
      <c r="H10">
        <v>1292</v>
      </c>
      <c r="I10" s="77">
        <v>29.8</v>
      </c>
      <c r="J10" s="77">
        <v>6525.1100000000006</v>
      </c>
    </row>
    <row r="11" spans="1:10" x14ac:dyDescent="0.25">
      <c r="A11" s="76">
        <v>45174</v>
      </c>
      <c r="B11">
        <v>42</v>
      </c>
      <c r="C11" s="77">
        <v>288.74200000000002</v>
      </c>
    </row>
    <row r="12" spans="1:10" x14ac:dyDescent="0.25">
      <c r="A12" s="78" t="s">
        <v>32</v>
      </c>
      <c r="B12">
        <v>10</v>
      </c>
      <c r="C12" s="77">
        <v>24.900000000000002</v>
      </c>
    </row>
    <row r="13" spans="1:10" x14ac:dyDescent="0.25">
      <c r="A13" s="78" t="s">
        <v>56</v>
      </c>
      <c r="B13">
        <v>5</v>
      </c>
      <c r="C13" s="77">
        <v>24.95</v>
      </c>
    </row>
    <row r="14" spans="1:10" x14ac:dyDescent="0.25">
      <c r="A14" s="78" t="s">
        <v>36</v>
      </c>
      <c r="B14">
        <v>6</v>
      </c>
      <c r="C14" s="77">
        <v>95.4</v>
      </c>
    </row>
    <row r="15" spans="1:10" x14ac:dyDescent="0.25">
      <c r="A15" s="78" t="s">
        <v>42</v>
      </c>
      <c r="B15">
        <v>3</v>
      </c>
      <c r="C15" s="77">
        <v>11.97</v>
      </c>
    </row>
    <row r="16" spans="1:10" x14ac:dyDescent="0.25">
      <c r="A16" s="78" t="s">
        <v>33</v>
      </c>
      <c r="B16">
        <v>5</v>
      </c>
      <c r="C16" s="77">
        <v>21.400000000000002</v>
      </c>
    </row>
    <row r="17" spans="1:3" x14ac:dyDescent="0.25">
      <c r="A17" s="78" t="s">
        <v>38</v>
      </c>
      <c r="B17">
        <v>3</v>
      </c>
      <c r="C17" s="77">
        <v>86.699999999999989</v>
      </c>
    </row>
    <row r="18" spans="1:3" x14ac:dyDescent="0.25">
      <c r="A18" s="78" t="s">
        <v>72</v>
      </c>
      <c r="B18">
        <v>10</v>
      </c>
      <c r="C18" s="77">
        <v>23.422000000000001</v>
      </c>
    </row>
    <row r="19" spans="1:3" x14ac:dyDescent="0.25">
      <c r="A19" s="76">
        <v>45175</v>
      </c>
      <c r="B19">
        <v>6</v>
      </c>
      <c r="C19" s="77">
        <v>41.42</v>
      </c>
    </row>
    <row r="20" spans="1:3" x14ac:dyDescent="0.25">
      <c r="A20" s="78" t="s">
        <v>58</v>
      </c>
      <c r="B20">
        <v>2</v>
      </c>
      <c r="C20" s="77">
        <v>13.5</v>
      </c>
    </row>
    <row r="21" spans="1:3" x14ac:dyDescent="0.25">
      <c r="A21" s="78" t="s">
        <v>37</v>
      </c>
      <c r="B21">
        <v>4</v>
      </c>
      <c r="C21" s="77">
        <v>27.92</v>
      </c>
    </row>
    <row r="22" spans="1:3" x14ac:dyDescent="0.25">
      <c r="A22" s="76">
        <v>45176</v>
      </c>
      <c r="B22">
        <v>58</v>
      </c>
      <c r="C22" s="77">
        <v>1044.27</v>
      </c>
    </row>
    <row r="23" spans="1:3" x14ac:dyDescent="0.25">
      <c r="A23" s="78" t="s">
        <v>35</v>
      </c>
      <c r="B23">
        <v>3</v>
      </c>
      <c r="C23" s="77">
        <v>8.9700000000000006</v>
      </c>
    </row>
    <row r="24" spans="1:3" x14ac:dyDescent="0.25">
      <c r="A24" s="78" t="s">
        <v>44</v>
      </c>
      <c r="B24">
        <v>2</v>
      </c>
      <c r="C24" s="77">
        <v>15.100000000000001</v>
      </c>
    </row>
    <row r="25" spans="1:3" x14ac:dyDescent="0.25">
      <c r="A25" s="78" t="s">
        <v>58</v>
      </c>
      <c r="B25">
        <v>23</v>
      </c>
      <c r="C25" s="77">
        <v>168.05</v>
      </c>
    </row>
    <row r="26" spans="1:3" x14ac:dyDescent="0.25">
      <c r="A26" s="78" t="s">
        <v>40</v>
      </c>
      <c r="B26">
        <v>30</v>
      </c>
      <c r="C26" s="77">
        <v>852.15</v>
      </c>
    </row>
    <row r="27" spans="1:3" x14ac:dyDescent="0.25">
      <c r="A27" s="76">
        <v>45177</v>
      </c>
      <c r="B27">
        <v>165</v>
      </c>
      <c r="C27" s="77">
        <v>1055.82</v>
      </c>
    </row>
    <row r="28" spans="1:3" x14ac:dyDescent="0.25">
      <c r="A28" s="78" t="s">
        <v>36</v>
      </c>
      <c r="B28">
        <v>15</v>
      </c>
      <c r="C28" s="77">
        <v>245.5</v>
      </c>
    </row>
    <row r="29" spans="1:3" x14ac:dyDescent="0.25">
      <c r="A29" s="78" t="s">
        <v>45</v>
      </c>
      <c r="B29">
        <v>100</v>
      </c>
      <c r="C29" s="77">
        <v>208.04999999999998</v>
      </c>
    </row>
    <row r="30" spans="1:3" x14ac:dyDescent="0.25">
      <c r="A30" s="78" t="s">
        <v>57</v>
      </c>
      <c r="B30">
        <v>15</v>
      </c>
      <c r="C30" s="77">
        <v>74.850000000000009</v>
      </c>
    </row>
    <row r="31" spans="1:3" x14ac:dyDescent="0.25">
      <c r="A31" s="78" t="s">
        <v>72</v>
      </c>
      <c r="B31">
        <v>12</v>
      </c>
      <c r="C31" s="77">
        <v>28.68</v>
      </c>
    </row>
    <row r="32" spans="1:3" x14ac:dyDescent="0.25">
      <c r="A32" s="78" t="s">
        <v>34</v>
      </c>
      <c r="B32">
        <v>12</v>
      </c>
      <c r="C32" s="77">
        <v>69.84</v>
      </c>
    </row>
    <row r="33" spans="1:3" x14ac:dyDescent="0.25">
      <c r="A33" s="78" t="s">
        <v>40</v>
      </c>
      <c r="B33">
        <v>7</v>
      </c>
      <c r="C33" s="77">
        <v>209.29999999999998</v>
      </c>
    </row>
    <row r="34" spans="1:3" x14ac:dyDescent="0.25">
      <c r="A34" s="78" t="s">
        <v>46</v>
      </c>
      <c r="B34">
        <v>4</v>
      </c>
      <c r="C34" s="77">
        <v>219.6</v>
      </c>
    </row>
    <row r="35" spans="1:3" x14ac:dyDescent="0.25">
      <c r="A35" s="76">
        <v>45178</v>
      </c>
      <c r="B35">
        <v>30</v>
      </c>
      <c r="C35" s="77">
        <v>91.04</v>
      </c>
    </row>
    <row r="36" spans="1:3" x14ac:dyDescent="0.25">
      <c r="A36" s="78" t="s">
        <v>44</v>
      </c>
      <c r="B36">
        <v>1</v>
      </c>
      <c r="C36" s="77">
        <v>1.1499999999999999</v>
      </c>
    </row>
    <row r="37" spans="1:3" x14ac:dyDescent="0.25">
      <c r="A37" s="78" t="s">
        <v>32</v>
      </c>
      <c r="B37">
        <v>16</v>
      </c>
      <c r="C37" s="77">
        <v>39.840000000000003</v>
      </c>
    </row>
    <row r="38" spans="1:3" x14ac:dyDescent="0.25">
      <c r="A38" s="78" t="s">
        <v>119</v>
      </c>
      <c r="B38">
        <v>1</v>
      </c>
      <c r="C38" s="77">
        <v>6.8</v>
      </c>
    </row>
    <row r="39" spans="1:3" x14ac:dyDescent="0.25">
      <c r="A39" s="78" t="s">
        <v>47</v>
      </c>
      <c r="B39">
        <v>3</v>
      </c>
      <c r="C39" s="77">
        <v>7.8000000000000007</v>
      </c>
    </row>
    <row r="40" spans="1:3" x14ac:dyDescent="0.25">
      <c r="A40" s="78" t="s">
        <v>125</v>
      </c>
      <c r="B40">
        <v>2</v>
      </c>
      <c r="C40" s="77">
        <v>9</v>
      </c>
    </row>
    <row r="41" spans="1:3" x14ac:dyDescent="0.25">
      <c r="A41" s="78" t="s">
        <v>120</v>
      </c>
      <c r="B41">
        <v>2</v>
      </c>
      <c r="C41" s="77">
        <v>9</v>
      </c>
    </row>
    <row r="42" spans="1:3" x14ac:dyDescent="0.25">
      <c r="A42" s="78" t="s">
        <v>66</v>
      </c>
      <c r="B42">
        <v>5</v>
      </c>
      <c r="C42" s="77">
        <v>17.45</v>
      </c>
    </row>
    <row r="43" spans="1:3" x14ac:dyDescent="0.25">
      <c r="A43" s="76" t="s">
        <v>168</v>
      </c>
      <c r="B43">
        <v>358</v>
      </c>
      <c r="C43" s="77">
        <v>2679.5250000000005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353FE-5A67-4A77-9392-C92AF7C92595}">
  <sheetPr codeName="Planilha12"/>
  <dimension ref="A2:M56"/>
  <sheetViews>
    <sheetView showGridLines="0" topLeftCell="B39" workbookViewId="0">
      <selection activeCell="M54" sqref="M54"/>
    </sheetView>
  </sheetViews>
  <sheetFormatPr defaultRowHeight="15" x14ac:dyDescent="0.25"/>
  <cols>
    <col min="1" max="1" width="21.7109375" customWidth="1"/>
    <col min="2" max="2" width="20.5703125" customWidth="1"/>
    <col min="3" max="3" width="10.42578125" bestFit="1" customWidth="1"/>
    <col min="4" max="4" width="15.7109375" bestFit="1" customWidth="1"/>
    <col min="5" max="5" width="9.85546875" bestFit="1" customWidth="1"/>
    <col min="6" max="6" width="13.7109375" bestFit="1" customWidth="1"/>
    <col min="7" max="7" width="16.140625" bestFit="1" customWidth="1"/>
    <col min="8" max="8" width="10.85546875" bestFit="1" customWidth="1"/>
    <col min="9" max="9" width="12" bestFit="1" customWidth="1"/>
    <col min="10" max="10" width="19.7109375" bestFit="1" customWidth="1"/>
    <col min="11" max="11" width="18" bestFit="1" customWidth="1"/>
    <col min="12" max="12" width="10.5703125" bestFit="1" customWidth="1"/>
    <col min="13" max="13" width="19.28515625" bestFit="1" customWidth="1"/>
  </cols>
  <sheetData>
    <row r="2" spans="1:13" s="33" customFormat="1" ht="24.95" customHeight="1" x14ac:dyDescent="0.25">
      <c r="A2" s="25"/>
      <c r="B2" s="24" t="s">
        <v>116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</row>
    <row r="4" spans="1:13" x14ac:dyDescent="0.25">
      <c r="B4" t="s">
        <v>101</v>
      </c>
      <c r="C4" t="s">
        <v>13</v>
      </c>
      <c r="D4" t="s">
        <v>93</v>
      </c>
      <c r="E4" t="s">
        <v>51</v>
      </c>
      <c r="F4" t="s">
        <v>52</v>
      </c>
      <c r="G4" t="s">
        <v>53</v>
      </c>
      <c r="H4" t="s">
        <v>102</v>
      </c>
      <c r="I4" t="s">
        <v>54</v>
      </c>
      <c r="J4" t="s">
        <v>103</v>
      </c>
      <c r="K4" t="s">
        <v>104</v>
      </c>
      <c r="L4" t="s">
        <v>105</v>
      </c>
      <c r="M4" t="s">
        <v>106</v>
      </c>
    </row>
    <row r="5" spans="1:13" x14ac:dyDescent="0.25">
      <c r="B5">
        <v>23</v>
      </c>
      <c r="C5" s="7">
        <v>45180</v>
      </c>
      <c r="D5" t="s">
        <v>45</v>
      </c>
      <c r="E5" t="str">
        <f>IFERROR(VLOOKUP(VendasSem3[[#This Row],[Produto]],cálculos!$I$3:$L$50,4,0),"")</f>
        <v>Lata</v>
      </c>
      <c r="F5">
        <v>10</v>
      </c>
      <c r="G5" s="6">
        <f>IFERROR(VLOOKUP(VendasSem3[[#This Row],[Produto]],cálculos!$I$3:$L$50,3,0),0)</f>
        <v>2.19</v>
      </c>
      <c r="H5" s="6">
        <f>IFERROR(VendasSem3[[#This Row],[Quantidade]]*VendasSem3[[#This Row],[Preço Unitário]],0)</f>
        <v>21.9</v>
      </c>
      <c r="I5" s="11"/>
      <c r="J5" t="s">
        <v>111</v>
      </c>
      <c r="K5" s="6">
        <f>IFERROR(IF(VendasSem3[[#This Row],[Id da Venda]]=B6,0,VLOOKUP(VendasSem3[[#This Row],[Região de Entrega]],cálculos!$B$5:$C$9,2,0)),0)</f>
        <v>0</v>
      </c>
      <c r="L5" s="6">
        <f>(VendasSem3[[#This Row],[Subtotal]]*(1-VendasSem3[[#This Row],[Desconto]])+VendasSem3[[#This Row],[Valor de Entrega]])</f>
        <v>21.9</v>
      </c>
      <c r="M5" s="6" t="str">
        <f>IF(VendasSem3[[#This Row],[Id da Venda]]=B6,"",SUMIF(VendasSem3[Id da Venda],VendasSem3[[#This Row],[Id da Venda]],VendasSem3[Total]))</f>
        <v/>
      </c>
    </row>
    <row r="6" spans="1:13" x14ac:dyDescent="0.25">
      <c r="B6">
        <v>23</v>
      </c>
      <c r="C6" s="7">
        <v>45180</v>
      </c>
      <c r="D6" t="s">
        <v>32</v>
      </c>
      <c r="E6" t="str">
        <f>IFERROR(VLOOKUP(VendasSem3[[#This Row],[Produto]],cálculos!$I$3:$L$50,4,0),"")</f>
        <v>Kg</v>
      </c>
      <c r="F6">
        <v>15</v>
      </c>
      <c r="G6" s="6">
        <f>IFERROR(VLOOKUP(VendasSem3[[#This Row],[Produto]],cálculos!$I$3:$L$50,3,0),0)</f>
        <v>2.4900000000000002</v>
      </c>
      <c r="H6" s="6">
        <f>IFERROR(VendasSem3[[#This Row],[Quantidade]]*VendasSem3[[#This Row],[Preço Unitário]],0)</f>
        <v>37.35</v>
      </c>
      <c r="I6" s="11"/>
      <c r="J6" t="s">
        <v>111</v>
      </c>
      <c r="K6" s="6">
        <f>IFERROR(IF(VendasSem3[[#This Row],[Id da Venda]]=B7,0,VLOOKUP(VendasSem3[[#This Row],[Região de Entrega]],cálculos!$B$5:$C$9,2,0)),0)</f>
        <v>0</v>
      </c>
      <c r="L6" s="6">
        <f>(VendasSem3[[#This Row],[Subtotal]]*(1-VendasSem3[[#This Row],[Desconto]])+VendasSem3[[#This Row],[Valor de Entrega]])</f>
        <v>37.35</v>
      </c>
      <c r="M6" s="6" t="str">
        <f>IF(VendasSem3[[#This Row],[Id da Venda]]=B7,"",SUMIF(VendasSem3[Id da Venda],VendasSem3[[#This Row],[Id da Venda]],VendasSem3[Total]))</f>
        <v/>
      </c>
    </row>
    <row r="7" spans="1:13" x14ac:dyDescent="0.25">
      <c r="B7">
        <v>23</v>
      </c>
      <c r="C7" s="7">
        <v>45180</v>
      </c>
      <c r="D7" t="s">
        <v>66</v>
      </c>
      <c r="E7" t="str">
        <f>IFERROR(VLOOKUP(VendasSem3[[#This Row],[Produto]],cálculos!$I$3:$L$50,4,0),"")</f>
        <v>Litro</v>
      </c>
      <c r="F7">
        <v>8</v>
      </c>
      <c r="G7" s="6">
        <f>IFERROR(VLOOKUP(VendasSem3[[#This Row],[Produto]],cálculos!$I$3:$L$50,3,0),0)</f>
        <v>1.49</v>
      </c>
      <c r="H7" s="6">
        <f>IFERROR(VendasSem3[[#This Row],[Quantidade]]*VendasSem3[[#This Row],[Preço Unitário]],0)</f>
        <v>11.92</v>
      </c>
      <c r="I7" s="11"/>
      <c r="J7" t="s">
        <v>111</v>
      </c>
      <c r="K7" s="6">
        <f>IFERROR(IF(VendasSem3[[#This Row],[Id da Venda]]=B8,0,VLOOKUP(VendasSem3[[#This Row],[Região de Entrega]],cálculos!$B$5:$C$9,2,0)),0)</f>
        <v>0</v>
      </c>
      <c r="L7" s="6">
        <f>(VendasSem3[[#This Row],[Subtotal]]*(1-VendasSem3[[#This Row],[Desconto]])+VendasSem3[[#This Row],[Valor de Entrega]])</f>
        <v>11.92</v>
      </c>
      <c r="M7" s="6" t="str">
        <f>IF(VendasSem3[[#This Row],[Id da Venda]]=B8,"",SUMIF(VendasSem3[Id da Venda],VendasSem3[[#This Row],[Id da Venda]],VendasSem3[Total]))</f>
        <v/>
      </c>
    </row>
    <row r="8" spans="1:13" x14ac:dyDescent="0.25">
      <c r="B8">
        <v>23</v>
      </c>
      <c r="C8" s="7">
        <v>45180</v>
      </c>
      <c r="D8" t="s">
        <v>47</v>
      </c>
      <c r="E8" t="str">
        <f>IFERROR(VLOOKUP(VendasSem3[[#This Row],[Produto]],cálculos!$I$3:$L$50,4,0),"")</f>
        <v>Unidade</v>
      </c>
      <c r="F8">
        <v>7</v>
      </c>
      <c r="G8" s="6">
        <f>IFERROR(VLOOKUP(VendasSem3[[#This Row],[Produto]],cálculos!$I$3:$L$50,3,0),0)</f>
        <v>2.6</v>
      </c>
      <c r="H8" s="6">
        <f>IFERROR(VendasSem3[[#This Row],[Quantidade]]*VendasSem3[[#This Row],[Preço Unitário]],0)</f>
        <v>18.2</v>
      </c>
      <c r="I8" s="11"/>
      <c r="J8" t="s">
        <v>111</v>
      </c>
      <c r="K8" s="6">
        <f>IFERROR(IF(VendasSem3[[#This Row],[Id da Venda]]=B9,0,VLOOKUP(VendasSem3[[#This Row],[Região de Entrega]],cálculos!$B$5:$C$9,2,0)),0)</f>
        <v>0</v>
      </c>
      <c r="L8" s="6">
        <f>(VendasSem3[[#This Row],[Subtotal]]*(1-VendasSem3[[#This Row],[Desconto]])+VendasSem3[[#This Row],[Valor de Entrega]])</f>
        <v>18.2</v>
      </c>
      <c r="M8" s="6" t="str">
        <f>IF(VendasSem3[[#This Row],[Id da Venda]]=B9,"",SUMIF(VendasSem3[Id da Venda],VendasSem3[[#This Row],[Id da Venda]],VendasSem3[Total]))</f>
        <v/>
      </c>
    </row>
    <row r="9" spans="1:13" x14ac:dyDescent="0.25">
      <c r="B9">
        <v>23</v>
      </c>
      <c r="C9" s="7">
        <v>45180</v>
      </c>
      <c r="D9" t="s">
        <v>40</v>
      </c>
      <c r="E9" t="str">
        <f>IFERROR(VLOOKUP(VendasSem3[[#This Row],[Produto]],cálculos!$I$3:$L$50,4,0),"")</f>
        <v>Garrafa</v>
      </c>
      <c r="F9">
        <v>6</v>
      </c>
      <c r="G9" s="6">
        <f>IFERROR(VLOOKUP(VendasSem3[[#This Row],[Produto]],cálculos!$I$3:$L$50,3,0),0)</f>
        <v>29.9</v>
      </c>
      <c r="H9" s="6">
        <f>IFERROR(VendasSem3[[#This Row],[Quantidade]]*VendasSem3[[#This Row],[Preço Unitário]],0)</f>
        <v>179.39999999999998</v>
      </c>
      <c r="I9" s="11"/>
      <c r="J9" t="s">
        <v>111</v>
      </c>
      <c r="K9" s="6">
        <f>IFERROR(IF(VendasSem3[[#This Row],[Id da Venda]]=B10,0,VLOOKUP(VendasSem3[[#This Row],[Região de Entrega]],cálculos!$B$5:$C$9,2,0)),0)</f>
        <v>0</v>
      </c>
      <c r="L9" s="6">
        <f>(VendasSem3[[#This Row],[Subtotal]]*(1-VendasSem3[[#This Row],[Desconto]])+VendasSem3[[#This Row],[Valor de Entrega]])</f>
        <v>179.39999999999998</v>
      </c>
      <c r="M9" s="6" t="str">
        <f>IF(VendasSem3[[#This Row],[Id da Venda]]=B10,"",SUMIF(VendasSem3[Id da Venda],VendasSem3[[#This Row],[Id da Venda]],VendasSem3[Total]))</f>
        <v/>
      </c>
    </row>
    <row r="10" spans="1:13" x14ac:dyDescent="0.25">
      <c r="B10">
        <v>23</v>
      </c>
      <c r="C10" s="7">
        <v>45180</v>
      </c>
      <c r="D10" t="s">
        <v>46</v>
      </c>
      <c r="E10" t="str">
        <f>IFERROR(VLOOKUP(VendasSem3[[#This Row],[Produto]],cálculos!$I$3:$L$50,4,0),"")</f>
        <v>Garrafa</v>
      </c>
      <c r="F10">
        <v>4</v>
      </c>
      <c r="G10" s="6">
        <f>IFERROR(VLOOKUP(VendasSem3[[#This Row],[Produto]],cálculos!$I$3:$L$50,3,0),0)</f>
        <v>54.9</v>
      </c>
      <c r="H10" s="6">
        <f>IFERROR(VendasSem3[[#This Row],[Quantidade]]*VendasSem3[[#This Row],[Preço Unitário]],0)</f>
        <v>219.6</v>
      </c>
      <c r="I10" s="11"/>
      <c r="J10" t="s">
        <v>111</v>
      </c>
      <c r="K10" s="6">
        <f>IFERROR(IF(VendasSem3[[#This Row],[Id da Venda]]=B11,0,VLOOKUP(VendasSem3[[#This Row],[Região de Entrega]],cálculos!$B$5:$C$9,2,0)),0)</f>
        <v>0</v>
      </c>
      <c r="L10" s="6">
        <f>(VendasSem3[[#This Row],[Subtotal]]*(1-VendasSem3[[#This Row],[Desconto]])+VendasSem3[[#This Row],[Valor de Entrega]])</f>
        <v>219.6</v>
      </c>
      <c r="M10" s="6" t="str">
        <f>IF(VendasSem3[[#This Row],[Id da Venda]]=B11,"",SUMIF(VendasSem3[Id da Venda],VendasSem3[[#This Row],[Id da Venda]],VendasSem3[Total]))</f>
        <v/>
      </c>
    </row>
    <row r="11" spans="1:13" x14ac:dyDescent="0.25">
      <c r="B11">
        <v>23</v>
      </c>
      <c r="C11" s="7">
        <v>45180</v>
      </c>
      <c r="D11" t="s">
        <v>72</v>
      </c>
      <c r="E11" t="str">
        <f>IFERROR(VLOOKUP(VendasSem3[[#This Row],[Produto]],cálculos!$I$3:$L$50,4,0),"")</f>
        <v>Litro</v>
      </c>
      <c r="F11">
        <v>2</v>
      </c>
      <c r="G11" s="6">
        <f>IFERROR(VLOOKUP(VendasSem3[[#This Row],[Produto]],cálculos!$I$3:$L$50,3,0),0)</f>
        <v>2.39</v>
      </c>
      <c r="H11" s="6">
        <f>IFERROR(VendasSem3[[#This Row],[Quantidade]]*VendasSem3[[#This Row],[Preço Unitário]],0)</f>
        <v>4.78</v>
      </c>
      <c r="I11" s="11"/>
      <c r="J11" t="s">
        <v>111</v>
      </c>
      <c r="K11" s="6">
        <f>IFERROR(IF(VendasSem3[[#This Row],[Id da Venda]]=B12,0,VLOOKUP(VendasSem3[[#This Row],[Região de Entrega]],cálculos!$B$5:$C$9,2,0)),0)</f>
        <v>0</v>
      </c>
      <c r="L11" s="6">
        <f>(VendasSem3[[#This Row],[Subtotal]]*(1-VendasSem3[[#This Row],[Desconto]])+VendasSem3[[#This Row],[Valor de Entrega]])</f>
        <v>4.78</v>
      </c>
      <c r="M11" s="6" t="str">
        <f>IF(VendasSem3[[#This Row],[Id da Venda]]=B12,"",SUMIF(VendasSem3[Id da Venda],VendasSem3[[#This Row],[Id da Venda]],VendasSem3[Total]))</f>
        <v/>
      </c>
    </row>
    <row r="12" spans="1:13" x14ac:dyDescent="0.25">
      <c r="B12">
        <v>23</v>
      </c>
      <c r="C12" s="7">
        <v>45180</v>
      </c>
      <c r="D12" t="s">
        <v>57</v>
      </c>
      <c r="E12" t="str">
        <f>IFERROR(VLOOKUP(VendasSem3[[#This Row],[Produto]],cálculos!$I$3:$L$50,4,0),"")</f>
        <v>Barra</v>
      </c>
      <c r="F12">
        <v>7</v>
      </c>
      <c r="G12" s="6">
        <f>IFERROR(VLOOKUP(VendasSem3[[#This Row],[Produto]],cálculos!$I$3:$L$50,3,0),0)</f>
        <v>4.99</v>
      </c>
      <c r="H12" s="6">
        <f>IFERROR(VendasSem3[[#This Row],[Quantidade]]*VendasSem3[[#This Row],[Preço Unitário]],0)</f>
        <v>34.93</v>
      </c>
      <c r="I12" s="11"/>
      <c r="J12" t="s">
        <v>111</v>
      </c>
      <c r="K12" s="6">
        <f>IFERROR(IF(VendasSem3[[#This Row],[Id da Venda]]=B13,0,VLOOKUP(VendasSem3[[#This Row],[Região de Entrega]],cálculos!$B$5:$C$9,2,0)),0)</f>
        <v>0</v>
      </c>
      <c r="L12" s="6">
        <f>(VendasSem3[[#This Row],[Subtotal]]*(1-VendasSem3[[#This Row],[Desconto]])+VendasSem3[[#This Row],[Valor de Entrega]])</f>
        <v>34.93</v>
      </c>
      <c r="M12" s="6" t="str">
        <f>IF(VendasSem3[[#This Row],[Id da Venda]]=B13,"",SUMIF(VendasSem3[Id da Venda],VendasSem3[[#This Row],[Id da Venda]],VendasSem3[Total]))</f>
        <v/>
      </c>
    </row>
    <row r="13" spans="1:13" x14ac:dyDescent="0.25">
      <c r="B13">
        <v>23</v>
      </c>
      <c r="C13" s="7">
        <v>45180</v>
      </c>
      <c r="D13" t="s">
        <v>45</v>
      </c>
      <c r="E13" t="str">
        <f>IFERROR(VLOOKUP(VendasSem3[[#This Row],[Produto]],cálculos!$I$3:$L$50,4,0),"")</f>
        <v>Lata</v>
      </c>
      <c r="F13">
        <v>9</v>
      </c>
      <c r="G13" s="6">
        <f>IFERROR(VLOOKUP(VendasSem3[[#This Row],[Produto]],cálculos!$I$3:$L$50,3,0),0)</f>
        <v>2.19</v>
      </c>
      <c r="H13" s="6">
        <f>IFERROR(VendasSem3[[#This Row],[Quantidade]]*VendasSem3[[#This Row],[Preço Unitário]],0)</f>
        <v>19.71</v>
      </c>
      <c r="I13" s="11"/>
      <c r="J13" t="s">
        <v>111</v>
      </c>
      <c r="K13" s="6">
        <f>IFERROR(IF(VendasSem3[[#This Row],[Id da Venda]]=B14,0,VLOOKUP(VendasSem3[[#This Row],[Região de Entrega]],cálculos!$B$5:$C$9,2,0)),0)</f>
        <v>0</v>
      </c>
      <c r="L13" s="6">
        <f>(VendasSem3[[#This Row],[Subtotal]]*(1-VendasSem3[[#This Row],[Desconto]])+VendasSem3[[#This Row],[Valor de Entrega]])</f>
        <v>19.71</v>
      </c>
      <c r="M13" s="6" t="str">
        <f>IF(VendasSem3[[#This Row],[Id da Venda]]=B14,"",SUMIF(VendasSem3[Id da Venda],VendasSem3[[#This Row],[Id da Venda]],VendasSem3[Total]))</f>
        <v/>
      </c>
    </row>
    <row r="14" spans="1:13" x14ac:dyDescent="0.25">
      <c r="B14">
        <v>23</v>
      </c>
      <c r="C14" s="7">
        <v>45180</v>
      </c>
      <c r="D14" t="s">
        <v>36</v>
      </c>
      <c r="E14" t="str">
        <f>IFERROR(VLOOKUP(VendasSem3[[#This Row],[Produto]],cálculos!$I$3:$L$50,4,0),"")</f>
        <v>Kg</v>
      </c>
      <c r="F14">
        <v>10</v>
      </c>
      <c r="G14" s="6">
        <f>IFERROR(VLOOKUP(VendasSem3[[#This Row],[Produto]],cálculos!$I$3:$L$50,3,0),0)</f>
        <v>15.9</v>
      </c>
      <c r="H14" s="6">
        <f>IFERROR(VendasSem3[[#This Row],[Quantidade]]*VendasSem3[[#This Row],[Preço Unitário]],0)</f>
        <v>159</v>
      </c>
      <c r="I14" s="11"/>
      <c r="J14" t="s">
        <v>111</v>
      </c>
      <c r="K14" s="6">
        <f>IFERROR(IF(VendasSem3[[#This Row],[Id da Venda]]=B15,0,VLOOKUP(VendasSem3[[#This Row],[Região de Entrega]],cálculos!$B$5:$C$9,2,0)),0)</f>
        <v>15</v>
      </c>
      <c r="L14" s="6">
        <f>(VendasSem3[[#This Row],[Subtotal]]*(1-VendasSem3[[#This Row],[Desconto]])+VendasSem3[[#This Row],[Valor de Entrega]])</f>
        <v>174</v>
      </c>
      <c r="M14" s="6">
        <f>IF(VendasSem3[[#This Row],[Id da Venda]]=B15,"",SUMIF(VendasSem3[Id da Venda],VendasSem3[[#This Row],[Id da Venda]],VendasSem3[Total]))</f>
        <v>721.79</v>
      </c>
    </row>
    <row r="15" spans="1:13" x14ac:dyDescent="0.25">
      <c r="B15">
        <v>24</v>
      </c>
      <c r="C15" s="7">
        <v>45181</v>
      </c>
      <c r="D15" t="s">
        <v>34</v>
      </c>
      <c r="E15" t="str">
        <f>IFERROR(VLOOKUP(VendasSem3[[#This Row],[Produto]],cálculos!$I$3:$L$50,4,0),"")</f>
        <v>Kg</v>
      </c>
      <c r="F15">
        <v>6</v>
      </c>
      <c r="G15" s="6">
        <f>IFERROR(VLOOKUP(VendasSem3[[#This Row],[Produto]],cálculos!$I$3:$L$50,3,0),0)</f>
        <v>5.82</v>
      </c>
      <c r="H15" s="6">
        <f>IFERROR(VendasSem3[[#This Row],[Quantidade]]*VendasSem3[[#This Row],[Preço Unitário]],0)</f>
        <v>34.92</v>
      </c>
      <c r="I15" s="11"/>
      <c r="J15" t="s">
        <v>109</v>
      </c>
      <c r="K15" s="6">
        <f>IFERROR(IF(VendasSem3[[#This Row],[Id da Venda]]=B16,0,VLOOKUP(VendasSem3[[#This Row],[Região de Entrega]],cálculos!$B$5:$C$9,2,0)),0)</f>
        <v>0</v>
      </c>
      <c r="L15" s="6">
        <f>(VendasSem3[[#This Row],[Subtotal]]*(1-VendasSem3[[#This Row],[Desconto]])+VendasSem3[[#This Row],[Valor de Entrega]])</f>
        <v>34.92</v>
      </c>
      <c r="M15" s="6" t="str">
        <f>IF(VendasSem3[[#This Row],[Id da Venda]]=B16,"",SUMIF(VendasSem3[Id da Venda],VendasSem3[[#This Row],[Id da Venda]],VendasSem3[Total]))</f>
        <v/>
      </c>
    </row>
    <row r="16" spans="1:13" x14ac:dyDescent="0.25">
      <c r="B16">
        <v>24</v>
      </c>
      <c r="C16" s="7">
        <v>45181</v>
      </c>
      <c r="D16" t="s">
        <v>40</v>
      </c>
      <c r="E16" t="str">
        <f>IFERROR(VLOOKUP(VendasSem3[[#This Row],[Produto]],cálculos!$I$3:$L$50,4,0),"")</f>
        <v>Garrafa</v>
      </c>
      <c r="F16">
        <v>24</v>
      </c>
      <c r="G16" s="6">
        <f>IFERROR(VLOOKUP(VendasSem3[[#This Row],[Produto]],cálculos!$I$3:$L$50,3,0),0)</f>
        <v>29.9</v>
      </c>
      <c r="H16" s="6">
        <f>IFERROR(VendasSem3[[#This Row],[Quantidade]]*VendasSem3[[#This Row],[Preço Unitário]],0)</f>
        <v>717.59999999999991</v>
      </c>
      <c r="I16" s="11"/>
      <c r="J16" t="s">
        <v>109</v>
      </c>
      <c r="K16" s="6">
        <f>IFERROR(IF(VendasSem3[[#This Row],[Id da Venda]]=B17,0,VLOOKUP(VendasSem3[[#This Row],[Região de Entrega]],cálculos!$B$5:$C$9,2,0)),0)</f>
        <v>0</v>
      </c>
      <c r="L16" s="6">
        <f>(VendasSem3[[#This Row],[Subtotal]]*(1-VendasSem3[[#This Row],[Desconto]])+VendasSem3[[#This Row],[Valor de Entrega]])</f>
        <v>717.59999999999991</v>
      </c>
      <c r="M16" s="6" t="str">
        <f>IF(VendasSem3[[#This Row],[Id da Venda]]=B17,"",SUMIF(VendasSem3[Id da Venda],VendasSem3[[#This Row],[Id da Venda]],VendasSem3[Total]))</f>
        <v/>
      </c>
    </row>
    <row r="17" spans="2:13" x14ac:dyDescent="0.25">
      <c r="B17">
        <v>24</v>
      </c>
      <c r="C17" s="7">
        <v>45181</v>
      </c>
      <c r="D17" t="s">
        <v>58</v>
      </c>
      <c r="E17" t="str">
        <f>IFERROR(VLOOKUP(VendasSem3[[#This Row],[Produto]],cálculos!$I$3:$L$50,4,0),"")</f>
        <v>Maço</v>
      </c>
      <c r="F17">
        <v>13</v>
      </c>
      <c r="G17" s="6">
        <f>IFERROR(VLOOKUP(VendasSem3[[#This Row],[Produto]],cálculos!$I$3:$L$50,3,0),0)</f>
        <v>6.75</v>
      </c>
      <c r="H17" s="6">
        <f>IFERROR(VendasSem3[[#This Row],[Quantidade]]*VendasSem3[[#This Row],[Preço Unitário]],0)</f>
        <v>87.75</v>
      </c>
      <c r="I17" s="11"/>
      <c r="J17" t="s">
        <v>109</v>
      </c>
      <c r="K17" s="6">
        <f>IFERROR(IF(VendasSem3[[#This Row],[Id da Venda]]=B18,0,VLOOKUP(VendasSem3[[#This Row],[Região de Entrega]],cálculos!$B$5:$C$9,2,0)),0)</f>
        <v>0</v>
      </c>
      <c r="L17" s="6">
        <f>(VendasSem3[[#This Row],[Subtotal]]*(1-VendasSem3[[#This Row],[Desconto]])+VendasSem3[[#This Row],[Valor de Entrega]])</f>
        <v>87.75</v>
      </c>
      <c r="M17" s="6" t="str">
        <f>IF(VendasSem3[[#This Row],[Id da Venda]]=B18,"",SUMIF(VendasSem3[Id da Venda],VendasSem3[[#This Row],[Id da Venda]],VendasSem3[Total]))</f>
        <v/>
      </c>
    </row>
    <row r="18" spans="2:13" x14ac:dyDescent="0.25">
      <c r="B18">
        <v>24</v>
      </c>
      <c r="C18" s="7">
        <v>45181</v>
      </c>
      <c r="D18" t="s">
        <v>35</v>
      </c>
      <c r="E18" t="str">
        <f>IFERROR(VLOOKUP(VendasSem3[[#This Row],[Produto]],cálculos!$I$3:$L$50,4,0),"")</f>
        <v>Unidade</v>
      </c>
      <c r="F18">
        <v>10</v>
      </c>
      <c r="G18" s="6">
        <f>IFERROR(VLOOKUP(VendasSem3[[#This Row],[Produto]],cálculos!$I$3:$L$50,3,0),0)</f>
        <v>2.99</v>
      </c>
      <c r="H18" s="6">
        <f>IFERROR(VendasSem3[[#This Row],[Quantidade]]*VendasSem3[[#This Row],[Preço Unitário]],0)</f>
        <v>29.900000000000002</v>
      </c>
      <c r="I18" s="11"/>
      <c r="J18" t="s">
        <v>109</v>
      </c>
      <c r="K18" s="6">
        <f>IFERROR(IF(VendasSem3[[#This Row],[Id da Venda]]=B19,0,VLOOKUP(VendasSem3[[#This Row],[Região de Entrega]],cálculos!$B$5:$C$9,2,0)),0)</f>
        <v>0</v>
      </c>
      <c r="L18" s="6">
        <f>(VendasSem3[[#This Row],[Subtotal]]*(1-VendasSem3[[#This Row],[Desconto]])+VendasSem3[[#This Row],[Valor de Entrega]])</f>
        <v>29.900000000000002</v>
      </c>
      <c r="M18" s="6" t="str">
        <f>IF(VendasSem3[[#This Row],[Id da Venda]]=B19,"",SUMIF(VendasSem3[Id da Venda],VendasSem3[[#This Row],[Id da Venda]],VendasSem3[Total]))</f>
        <v/>
      </c>
    </row>
    <row r="19" spans="2:13" x14ac:dyDescent="0.25">
      <c r="B19">
        <v>24</v>
      </c>
      <c r="C19" s="7">
        <v>45181</v>
      </c>
      <c r="D19" t="s">
        <v>44</v>
      </c>
      <c r="E19" t="str">
        <f>IFERROR(VLOOKUP(VendasSem3[[#This Row],[Produto]],cálculos!$I$3:$L$50,4,0),"")</f>
        <v>Pacote</v>
      </c>
      <c r="F19">
        <v>1</v>
      </c>
      <c r="G19" s="6">
        <f>IFERROR(VLOOKUP(VendasSem3[[#This Row],[Produto]],cálculos!$I$3:$L$50,3,0),0)</f>
        <v>1.1499999999999999</v>
      </c>
      <c r="H19" s="6">
        <f>IFERROR(VendasSem3[[#This Row],[Quantidade]]*VendasSem3[[#This Row],[Preço Unitário]],0)</f>
        <v>1.1499999999999999</v>
      </c>
      <c r="I19" s="11"/>
      <c r="J19" t="s">
        <v>109</v>
      </c>
      <c r="K19" s="6">
        <f>IFERROR(IF(VendasSem3[[#This Row],[Id da Venda]]=B20,0,VLOOKUP(VendasSem3[[#This Row],[Região de Entrega]],cálculos!$B$5:$C$9,2,0)),0)</f>
        <v>0</v>
      </c>
      <c r="L19" s="6">
        <f>(VendasSem3[[#This Row],[Subtotal]]*(1-VendasSem3[[#This Row],[Desconto]])+VendasSem3[[#This Row],[Valor de Entrega]])</f>
        <v>1.1499999999999999</v>
      </c>
      <c r="M19" s="6" t="str">
        <f>IF(VendasSem3[[#This Row],[Id da Venda]]=B20,"",SUMIF(VendasSem3[Id da Venda],VendasSem3[[#This Row],[Id da Venda]],VendasSem3[Total]))</f>
        <v/>
      </c>
    </row>
    <row r="20" spans="2:13" x14ac:dyDescent="0.25">
      <c r="B20">
        <v>24</v>
      </c>
      <c r="C20" s="7">
        <v>45181</v>
      </c>
      <c r="D20" t="s">
        <v>58</v>
      </c>
      <c r="E20" t="str">
        <f>IFERROR(VLOOKUP(VendasSem3[[#This Row],[Produto]],cálculos!$I$3:$L$50,4,0),"")</f>
        <v>Maço</v>
      </c>
      <c r="F20">
        <v>2</v>
      </c>
      <c r="G20" s="6">
        <f>IFERROR(VLOOKUP(VendasSem3[[#This Row],[Produto]],cálculos!$I$3:$L$50,3,0),0)</f>
        <v>6.75</v>
      </c>
      <c r="H20" s="6">
        <f>IFERROR(VendasSem3[[#This Row],[Quantidade]]*VendasSem3[[#This Row],[Preço Unitário]],0)</f>
        <v>13.5</v>
      </c>
      <c r="I20" s="11"/>
      <c r="J20" t="s">
        <v>109</v>
      </c>
      <c r="K20" s="6">
        <f>IFERROR(IF(VendasSem3[[#This Row],[Id da Venda]]=B21,0,VLOOKUP(VendasSem3[[#This Row],[Região de Entrega]],cálculos!$B$5:$C$9,2,0)),0)</f>
        <v>0</v>
      </c>
      <c r="L20" s="6">
        <f>(VendasSem3[[#This Row],[Subtotal]]*(1-VendasSem3[[#This Row],[Desconto]])+VendasSem3[[#This Row],[Valor de Entrega]])</f>
        <v>13.5</v>
      </c>
      <c r="M20" s="6" t="str">
        <f>IF(VendasSem3[[#This Row],[Id da Venda]]=B21,"",SUMIF(VendasSem3[Id da Venda],VendasSem3[[#This Row],[Id da Venda]],VendasSem3[Total]))</f>
        <v/>
      </c>
    </row>
    <row r="21" spans="2:13" x14ac:dyDescent="0.25">
      <c r="B21">
        <v>24</v>
      </c>
      <c r="C21" s="7">
        <v>45181</v>
      </c>
      <c r="D21" t="s">
        <v>37</v>
      </c>
      <c r="E21" t="str">
        <f>IFERROR(VLOOKUP(VendasSem3[[#This Row],[Produto]],cálculos!$I$3:$L$50,4,0),"")</f>
        <v>Kg</v>
      </c>
      <c r="F21">
        <v>3</v>
      </c>
      <c r="G21" s="6">
        <f>IFERROR(VLOOKUP(VendasSem3[[#This Row],[Produto]],cálculos!$I$3:$L$50,3,0),0)</f>
        <v>6.98</v>
      </c>
      <c r="H21" s="6">
        <f>IFERROR(VendasSem3[[#This Row],[Quantidade]]*VendasSem3[[#This Row],[Preço Unitário]],0)</f>
        <v>20.94</v>
      </c>
      <c r="I21" s="11"/>
      <c r="J21" t="s">
        <v>109</v>
      </c>
      <c r="K21" s="6">
        <f>IFERROR(IF(VendasSem3[[#This Row],[Id da Venda]]=B22,0,VLOOKUP(VendasSem3[[#This Row],[Região de Entrega]],cálculos!$B$5:$C$9,2,0)),0)</f>
        <v>0</v>
      </c>
      <c r="L21" s="6">
        <f>(VendasSem3[[#This Row],[Subtotal]]*(1-VendasSem3[[#This Row],[Desconto]])+VendasSem3[[#This Row],[Valor de Entrega]])</f>
        <v>20.94</v>
      </c>
      <c r="M21" s="6" t="str">
        <f>IF(VendasSem3[[#This Row],[Id da Venda]]=B22,"",SUMIF(VendasSem3[Id da Venda],VendasSem3[[#This Row],[Id da Venda]],VendasSem3[Total]))</f>
        <v/>
      </c>
    </row>
    <row r="22" spans="2:13" x14ac:dyDescent="0.25">
      <c r="B22">
        <v>24</v>
      </c>
      <c r="C22" s="7">
        <v>45181</v>
      </c>
      <c r="D22" t="s">
        <v>58</v>
      </c>
      <c r="E22" t="str">
        <f>IFERROR(VLOOKUP(VendasSem3[[#This Row],[Produto]],cálculos!$I$3:$L$50,4,0),"")</f>
        <v>Maço</v>
      </c>
      <c r="F22">
        <v>9</v>
      </c>
      <c r="G22" s="6">
        <f>IFERROR(VLOOKUP(VendasSem3[[#This Row],[Produto]],cálculos!$I$3:$L$50,3,0),0)</f>
        <v>6.75</v>
      </c>
      <c r="H22" s="6">
        <f>IFERROR(VendasSem3[[#This Row],[Quantidade]]*VendasSem3[[#This Row],[Preço Unitário]],0)</f>
        <v>60.75</v>
      </c>
      <c r="I22" s="11"/>
      <c r="J22" t="s">
        <v>109</v>
      </c>
      <c r="K22" s="6">
        <f>IFERROR(IF(VendasSem3[[#This Row],[Id da Venda]]=B23,0,VLOOKUP(VendasSem3[[#This Row],[Região de Entrega]],cálculos!$B$5:$C$9,2,0)),0)</f>
        <v>0</v>
      </c>
      <c r="L22" s="6">
        <f>(VendasSem3[[#This Row],[Subtotal]]*(1-VendasSem3[[#This Row],[Desconto]])+VendasSem3[[#This Row],[Valor de Entrega]])</f>
        <v>60.75</v>
      </c>
      <c r="M22" s="6">
        <f>IF(VendasSem3[[#This Row],[Id da Venda]]=B23,"",SUMIF(VendasSem3[Id da Venda],VendasSem3[[#This Row],[Id da Venda]],VendasSem3[Total]))</f>
        <v>966.50999999999988</v>
      </c>
    </row>
    <row r="23" spans="2:13" x14ac:dyDescent="0.25">
      <c r="B23">
        <v>25</v>
      </c>
      <c r="C23" s="7">
        <v>45182</v>
      </c>
      <c r="D23" t="s">
        <v>42</v>
      </c>
      <c r="E23" t="str">
        <f>IFERROR(VLOOKUP(VendasSem3[[#This Row],[Produto]],cálculos!$I$3:$L$50,4,0),"")</f>
        <v>Kg</v>
      </c>
      <c r="F23">
        <v>18</v>
      </c>
      <c r="G23" s="6">
        <f>IFERROR(VLOOKUP(VendasSem3[[#This Row],[Produto]],cálculos!$I$3:$L$50,3,0),0)</f>
        <v>3.99</v>
      </c>
      <c r="H23" s="6">
        <f>IFERROR(VendasSem3[[#This Row],[Quantidade]]*VendasSem3[[#This Row],[Preço Unitário]],0)</f>
        <v>71.820000000000007</v>
      </c>
      <c r="I23" s="11"/>
      <c r="J23" t="s">
        <v>112</v>
      </c>
      <c r="K23" s="6">
        <f>IFERROR(IF(VendasSem3[[#This Row],[Id da Venda]]=B24,0,VLOOKUP(VendasSem3[[#This Row],[Região de Entrega]],cálculos!$B$5:$C$9,2,0)),0)</f>
        <v>0</v>
      </c>
      <c r="L23" s="6">
        <f>(VendasSem3[[#This Row],[Subtotal]]*(1-VendasSem3[[#This Row],[Desconto]])+VendasSem3[[#This Row],[Valor de Entrega]])</f>
        <v>71.820000000000007</v>
      </c>
      <c r="M23" s="6" t="str">
        <f>IF(VendasSem3[[#This Row],[Id da Venda]]=B24,"",SUMIF(VendasSem3[Id da Venda],VendasSem3[[#This Row],[Id da Venda]],VendasSem3[Total]))</f>
        <v/>
      </c>
    </row>
    <row r="24" spans="2:13" x14ac:dyDescent="0.25">
      <c r="B24">
        <v>25</v>
      </c>
      <c r="C24" s="7">
        <v>45182</v>
      </c>
      <c r="D24" t="s">
        <v>33</v>
      </c>
      <c r="E24" t="str">
        <f>IFERROR(VLOOKUP(VendasSem3[[#This Row],[Produto]],cálculos!$I$3:$L$50,4,0),"")</f>
        <v>Kg</v>
      </c>
      <c r="F24">
        <v>50</v>
      </c>
      <c r="G24" s="6">
        <f>IFERROR(VLOOKUP(VendasSem3[[#This Row],[Produto]],cálculos!$I$3:$L$50,3,0),0)</f>
        <v>4.28</v>
      </c>
      <c r="H24" s="6">
        <f>IFERROR(VendasSem3[[#This Row],[Quantidade]]*VendasSem3[[#This Row],[Preço Unitário]],0)</f>
        <v>214</v>
      </c>
      <c r="I24" s="11"/>
      <c r="J24" t="s">
        <v>112</v>
      </c>
      <c r="K24" s="6">
        <f>IFERROR(IF(VendasSem3[[#This Row],[Id da Venda]]=B25,0,VLOOKUP(VendasSem3[[#This Row],[Região de Entrega]],cálculos!$B$5:$C$9,2,0)),0)</f>
        <v>0</v>
      </c>
      <c r="L24" s="6">
        <f>(VendasSem3[[#This Row],[Subtotal]]*(1-VendasSem3[[#This Row],[Desconto]])+VendasSem3[[#This Row],[Valor de Entrega]])</f>
        <v>214</v>
      </c>
      <c r="M24" s="6" t="str">
        <f>IF(VendasSem3[[#This Row],[Id da Venda]]=B25,"",SUMIF(VendasSem3[Id da Venda],VendasSem3[[#This Row],[Id da Venda]],VendasSem3[Total]))</f>
        <v/>
      </c>
    </row>
    <row r="25" spans="2:13" x14ac:dyDescent="0.25">
      <c r="B25">
        <v>25</v>
      </c>
      <c r="C25" s="7">
        <v>45182</v>
      </c>
      <c r="D25" t="s">
        <v>32</v>
      </c>
      <c r="E25" t="str">
        <f>IFERROR(VLOOKUP(VendasSem3[[#This Row],[Produto]],cálculos!$I$3:$L$50,4,0),"")</f>
        <v>Kg</v>
      </c>
      <c r="F25">
        <v>100</v>
      </c>
      <c r="G25" s="6">
        <f>IFERROR(VLOOKUP(VendasSem3[[#This Row],[Produto]],cálculos!$I$3:$L$50,3,0),0)</f>
        <v>2.4900000000000002</v>
      </c>
      <c r="H25" s="6">
        <f>IFERROR(VendasSem3[[#This Row],[Quantidade]]*VendasSem3[[#This Row],[Preço Unitário]],0)</f>
        <v>249.00000000000003</v>
      </c>
      <c r="I25" s="11"/>
      <c r="J25" t="s">
        <v>112</v>
      </c>
      <c r="K25" s="6">
        <f>IFERROR(IF(VendasSem3[[#This Row],[Id da Venda]]=B26,0,VLOOKUP(VendasSem3[[#This Row],[Região de Entrega]],cálculos!$B$5:$C$9,2,0)),0)</f>
        <v>0</v>
      </c>
      <c r="L25" s="6">
        <f>(VendasSem3[[#This Row],[Subtotal]]*(1-VendasSem3[[#This Row],[Desconto]])+VendasSem3[[#This Row],[Valor de Entrega]])</f>
        <v>249.00000000000003</v>
      </c>
      <c r="M25" s="6" t="str">
        <f>IF(VendasSem3[[#This Row],[Id da Venda]]=B26,"",SUMIF(VendasSem3[Id da Venda],VendasSem3[[#This Row],[Id da Venda]],VendasSem3[Total]))</f>
        <v/>
      </c>
    </row>
    <row r="26" spans="2:13" x14ac:dyDescent="0.25">
      <c r="B26">
        <v>25</v>
      </c>
      <c r="C26" s="7">
        <v>45182</v>
      </c>
      <c r="D26" t="s">
        <v>56</v>
      </c>
      <c r="E26" t="str">
        <f>IFERROR(VLOOKUP(VendasSem3[[#This Row],[Produto]],cálculos!$I$3:$L$50,4,0),"")</f>
        <v>Pacote</v>
      </c>
      <c r="F26">
        <v>12</v>
      </c>
      <c r="G26" s="6">
        <f>IFERROR(VLOOKUP(VendasSem3[[#This Row],[Produto]],cálculos!$I$3:$L$50,3,0),0)</f>
        <v>1.99</v>
      </c>
      <c r="H26" s="6">
        <f>IFERROR(VendasSem3[[#This Row],[Quantidade]]*VendasSem3[[#This Row],[Preço Unitário]],0)</f>
        <v>23.88</v>
      </c>
      <c r="I26" s="11"/>
      <c r="J26" t="s">
        <v>112</v>
      </c>
      <c r="K26" s="6">
        <f>IFERROR(IF(VendasSem3[[#This Row],[Id da Venda]]=B27,0,VLOOKUP(VendasSem3[[#This Row],[Região de Entrega]],cálculos!$B$5:$C$9,2,0)),0)</f>
        <v>0</v>
      </c>
      <c r="L26" s="6">
        <f>(VendasSem3[[#This Row],[Subtotal]]*(1-VendasSem3[[#This Row],[Desconto]])+VendasSem3[[#This Row],[Valor de Entrega]])</f>
        <v>23.88</v>
      </c>
      <c r="M26" s="6" t="str">
        <f>IF(VendasSem3[[#This Row],[Id da Venda]]=B27,"",SUMIF(VendasSem3[Id da Venda],VendasSem3[[#This Row],[Id da Venda]],VendasSem3[Total]))</f>
        <v/>
      </c>
    </row>
    <row r="27" spans="2:13" x14ac:dyDescent="0.25">
      <c r="B27">
        <v>25</v>
      </c>
      <c r="C27" s="7">
        <v>45182</v>
      </c>
      <c r="D27" t="s">
        <v>36</v>
      </c>
      <c r="E27" t="str">
        <f>IFERROR(VLOOKUP(VendasSem3[[#This Row],[Produto]],cálculos!$I$3:$L$50,4,0),"")</f>
        <v>Kg</v>
      </c>
      <c r="F27">
        <v>10</v>
      </c>
      <c r="G27" s="6">
        <f>IFERROR(VLOOKUP(VendasSem3[[#This Row],[Produto]],cálculos!$I$3:$L$50,3,0),0)</f>
        <v>15.9</v>
      </c>
      <c r="H27" s="6">
        <f>IFERROR(VendasSem3[[#This Row],[Quantidade]]*VendasSem3[[#This Row],[Preço Unitário]],0)</f>
        <v>159</v>
      </c>
      <c r="I27" s="11"/>
      <c r="J27" t="s">
        <v>112</v>
      </c>
      <c r="K27" s="6">
        <f>IFERROR(IF(VendasSem3[[#This Row],[Id da Venda]]=B28,0,VLOOKUP(VendasSem3[[#This Row],[Região de Entrega]],cálculos!$B$5:$C$9,2,0)),0)</f>
        <v>0</v>
      </c>
      <c r="L27" s="6">
        <f>(VendasSem3[[#This Row],[Subtotal]]*(1-VendasSem3[[#This Row],[Desconto]])+VendasSem3[[#This Row],[Valor de Entrega]])</f>
        <v>159</v>
      </c>
      <c r="M27" s="6" t="str">
        <f>IF(VendasSem3[[#This Row],[Id da Venda]]=B28,"",SUMIF(VendasSem3[Id da Venda],VendasSem3[[#This Row],[Id da Venda]],VendasSem3[Total]))</f>
        <v/>
      </c>
    </row>
    <row r="28" spans="2:13" x14ac:dyDescent="0.25">
      <c r="B28">
        <v>25</v>
      </c>
      <c r="C28" s="7">
        <v>45182</v>
      </c>
      <c r="D28" t="s">
        <v>38</v>
      </c>
      <c r="E28" t="str">
        <f>IFERROR(VLOOKUP(VendasSem3[[#This Row],[Produto]],cálculos!$I$3:$L$50,4,0),"")</f>
        <v>Kg</v>
      </c>
      <c r="F28">
        <v>24</v>
      </c>
      <c r="G28" s="6">
        <f>IFERROR(VLOOKUP(VendasSem3[[#This Row],[Produto]],cálculos!$I$3:$L$50,3,0),0)</f>
        <v>23.9</v>
      </c>
      <c r="H28" s="6">
        <f>IFERROR(VendasSem3[[#This Row],[Quantidade]]*VendasSem3[[#This Row],[Preço Unitário]],0)</f>
        <v>573.59999999999991</v>
      </c>
      <c r="I28" s="11"/>
      <c r="J28" t="s">
        <v>112</v>
      </c>
      <c r="K28" s="6">
        <f>IFERROR(IF(VendasSem3[[#This Row],[Id da Venda]]=B29,0,VLOOKUP(VendasSem3[[#This Row],[Região de Entrega]],cálculos!$B$5:$C$9,2,0)),0)</f>
        <v>0</v>
      </c>
      <c r="L28" s="6">
        <f>(VendasSem3[[#This Row],[Subtotal]]*(1-VendasSem3[[#This Row],[Desconto]])+VendasSem3[[#This Row],[Valor de Entrega]])</f>
        <v>573.59999999999991</v>
      </c>
      <c r="M28" s="6" t="str">
        <f>IF(VendasSem3[[#This Row],[Id da Venda]]=B29,"",SUMIF(VendasSem3[Id da Venda],VendasSem3[[#This Row],[Id da Venda]],VendasSem3[Total]))</f>
        <v/>
      </c>
    </row>
    <row r="29" spans="2:13" x14ac:dyDescent="0.25">
      <c r="B29">
        <v>25</v>
      </c>
      <c r="C29" s="7">
        <v>45182</v>
      </c>
      <c r="D29" t="s">
        <v>72</v>
      </c>
      <c r="E29" t="str">
        <f>IFERROR(VLOOKUP(VendasSem3[[#This Row],[Produto]],cálculos!$I$3:$L$50,4,0),"")</f>
        <v>Litro</v>
      </c>
      <c r="F29">
        <v>133</v>
      </c>
      <c r="G29" s="6">
        <f>IFERROR(VLOOKUP(VendasSem3[[#This Row],[Produto]],cálculos!$I$3:$L$50,3,0),0)</f>
        <v>2.39</v>
      </c>
      <c r="H29" s="6">
        <f>IFERROR(VendasSem3[[#This Row],[Quantidade]]*VendasSem3[[#This Row],[Preço Unitário]],0)</f>
        <v>317.87</v>
      </c>
      <c r="I29" s="11"/>
      <c r="J29" t="s">
        <v>112</v>
      </c>
      <c r="K29" s="6">
        <f>IFERROR(IF(VendasSem3[[#This Row],[Id da Venda]]=B30,0,VLOOKUP(VendasSem3[[#This Row],[Região de Entrega]],cálculos!$B$5:$C$9,2,0)),0)</f>
        <v>0</v>
      </c>
      <c r="L29" s="6">
        <f>(VendasSem3[[#This Row],[Subtotal]]*(1-VendasSem3[[#This Row],[Desconto]])+VendasSem3[[#This Row],[Valor de Entrega]])</f>
        <v>317.87</v>
      </c>
      <c r="M29" s="6" t="str">
        <f>IF(VendasSem3[[#This Row],[Id da Venda]]=B30,"",SUMIF(VendasSem3[Id da Venda],VendasSem3[[#This Row],[Id da Venda]],VendasSem3[Total]))</f>
        <v/>
      </c>
    </row>
    <row r="30" spans="2:13" x14ac:dyDescent="0.25">
      <c r="B30">
        <v>25</v>
      </c>
      <c r="C30" s="7">
        <v>45182</v>
      </c>
      <c r="D30" t="s">
        <v>45</v>
      </c>
      <c r="E30" t="str">
        <f>IFERROR(VLOOKUP(VendasSem3[[#This Row],[Produto]],cálculos!$I$3:$L$50,4,0),"")</f>
        <v>Lata</v>
      </c>
      <c r="F30">
        <v>90</v>
      </c>
      <c r="G30" s="6">
        <f>IFERROR(VLOOKUP(VendasSem3[[#This Row],[Produto]],cálculos!$I$3:$L$50,3,0),0)</f>
        <v>2.19</v>
      </c>
      <c r="H30" s="6">
        <f>IFERROR(VendasSem3[[#This Row],[Quantidade]]*VendasSem3[[#This Row],[Preço Unitário]],0)</f>
        <v>197.1</v>
      </c>
      <c r="I30" s="11"/>
      <c r="J30" t="s">
        <v>112</v>
      </c>
      <c r="K30" s="6">
        <f>IFERROR(IF(VendasSem3[[#This Row],[Id da Venda]]=B31,0,VLOOKUP(VendasSem3[[#This Row],[Região de Entrega]],cálculos!$B$5:$C$9,2,0)),0)</f>
        <v>0</v>
      </c>
      <c r="L30" s="6">
        <f>(VendasSem3[[#This Row],[Subtotal]]*(1-VendasSem3[[#This Row],[Desconto]])+VendasSem3[[#This Row],[Valor de Entrega]])</f>
        <v>197.1</v>
      </c>
      <c r="M30" s="6" t="str">
        <f>IF(VendasSem3[[#This Row],[Id da Venda]]=B31,"",SUMIF(VendasSem3[Id da Venda],VendasSem3[[#This Row],[Id da Venda]],VendasSem3[Total]))</f>
        <v/>
      </c>
    </row>
    <row r="31" spans="2:13" x14ac:dyDescent="0.25">
      <c r="B31">
        <v>25</v>
      </c>
      <c r="C31" s="7">
        <v>45182</v>
      </c>
      <c r="D31" t="s">
        <v>32</v>
      </c>
      <c r="E31" t="str">
        <f>IFERROR(VLOOKUP(VendasSem3[[#This Row],[Produto]],cálculos!$I$3:$L$50,4,0),"")</f>
        <v>Kg</v>
      </c>
      <c r="F31">
        <v>24</v>
      </c>
      <c r="G31" s="6">
        <f>IFERROR(VLOOKUP(VendasSem3[[#This Row],[Produto]],cálculos!$I$3:$L$50,3,0),0)</f>
        <v>2.4900000000000002</v>
      </c>
      <c r="H31" s="6">
        <f>IFERROR(VendasSem3[[#This Row],[Quantidade]]*VendasSem3[[#This Row],[Preço Unitário]],0)</f>
        <v>59.760000000000005</v>
      </c>
      <c r="I31" s="11"/>
      <c r="J31" t="s">
        <v>112</v>
      </c>
      <c r="K31" s="6">
        <f>IFERROR(IF(VendasSem3[[#This Row],[Id da Venda]]=B32,0,VLOOKUP(VendasSem3[[#This Row],[Região de Entrega]],cálculos!$B$5:$C$9,2,0)),0)</f>
        <v>0</v>
      </c>
      <c r="L31" s="6">
        <f>(VendasSem3[[#This Row],[Subtotal]]*(1-VendasSem3[[#This Row],[Desconto]])+VendasSem3[[#This Row],[Valor de Entrega]])</f>
        <v>59.760000000000005</v>
      </c>
      <c r="M31" s="6" t="str">
        <f>IF(VendasSem3[[#This Row],[Id da Venda]]=B32,"",SUMIF(VendasSem3[Id da Venda],VendasSem3[[#This Row],[Id da Venda]],VendasSem3[Total]))</f>
        <v/>
      </c>
    </row>
    <row r="32" spans="2:13" x14ac:dyDescent="0.25">
      <c r="B32">
        <v>25</v>
      </c>
      <c r="C32" s="7">
        <v>45182</v>
      </c>
      <c r="D32" t="s">
        <v>37</v>
      </c>
      <c r="E32" t="str">
        <f>IFERROR(VLOOKUP(VendasSem3[[#This Row],[Produto]],cálculos!$I$3:$L$50,4,0),"")</f>
        <v>Kg</v>
      </c>
      <c r="F32">
        <v>80</v>
      </c>
      <c r="G32" s="6">
        <f>IFERROR(VLOOKUP(VendasSem3[[#This Row],[Produto]],cálculos!$I$3:$L$50,3,0),0)</f>
        <v>6.98</v>
      </c>
      <c r="H32" s="6">
        <f>IFERROR(VendasSem3[[#This Row],[Quantidade]]*VendasSem3[[#This Row],[Preço Unitário]],0)</f>
        <v>558.40000000000009</v>
      </c>
      <c r="I32" s="11"/>
      <c r="J32" t="s">
        <v>112</v>
      </c>
      <c r="K32" s="6">
        <f>IFERROR(IF(VendasSem3[[#This Row],[Id da Venda]]=B33,0,VLOOKUP(VendasSem3[[#This Row],[Região de Entrega]],cálculos!$B$5:$C$9,2,0)),0)</f>
        <v>7</v>
      </c>
      <c r="L32" s="6">
        <f>(VendasSem3[[#This Row],[Subtotal]]*(1-VendasSem3[[#This Row],[Desconto]])+VendasSem3[[#This Row],[Valor de Entrega]])</f>
        <v>565.40000000000009</v>
      </c>
      <c r="M32" s="6">
        <f>IF(VendasSem3[[#This Row],[Id da Venda]]=B52,"",SUMIF(VendasSem3[Id da Venda],VendasSem3[[#This Row],[Id da Venda]],VendasSem3[Total]))</f>
        <v>2431.4300000000003</v>
      </c>
    </row>
    <row r="33" spans="2:13" x14ac:dyDescent="0.25">
      <c r="B33">
        <v>26</v>
      </c>
      <c r="C33" s="7">
        <v>45182</v>
      </c>
      <c r="D33" t="s">
        <v>48</v>
      </c>
      <c r="E33" t="str">
        <f>IFERROR(VLOOKUP(VendasSem3[[#This Row],[Produto]],cálculos!$I$3:$L$50,4,0),"")</f>
        <v>Pacote</v>
      </c>
      <c r="F33">
        <v>7</v>
      </c>
      <c r="G33" s="6">
        <f>IFERROR(VLOOKUP(VendasSem3[[#This Row],[Produto]],cálculos!$I$3:$L$50,3,0),0)</f>
        <v>0.79</v>
      </c>
      <c r="H33" s="6">
        <f>IFERROR(VendasSem3[[#This Row],[Quantidade]]*VendasSem3[[#This Row],[Preço Unitário]],0)</f>
        <v>5.53</v>
      </c>
      <c r="I33" s="11"/>
      <c r="J33" t="s">
        <v>109</v>
      </c>
      <c r="K33" s="6">
        <f>IFERROR(IF(VendasSem3[[#This Row],[Id da Venda]]=B34,0,VLOOKUP(VendasSem3[[#This Row],[Região de Entrega]],cálculos!$B$5:$C$9,2,0)),0)</f>
        <v>0</v>
      </c>
      <c r="L33" s="6">
        <f>(VendasSem3[[#This Row],[Subtotal]]*(1-VendasSem3[[#This Row],[Desconto]])+VendasSem3[[#This Row],[Valor de Entrega]])</f>
        <v>5.53</v>
      </c>
      <c r="M33" s="6" t="str">
        <f>IF(VendasSem3[[#This Row],[Id da Venda]]=B34,"",SUMIF(VendasSem3[Id da Venda],VendasSem3[[#This Row],[Id da Venda]],VendasSem3[Total]))</f>
        <v/>
      </c>
    </row>
    <row r="34" spans="2:13" x14ac:dyDescent="0.25">
      <c r="B34">
        <v>26</v>
      </c>
      <c r="C34" s="7">
        <v>45182</v>
      </c>
      <c r="D34" t="s">
        <v>42</v>
      </c>
      <c r="E34" t="str">
        <f>IFERROR(VLOOKUP(VendasSem3[[#This Row],[Produto]],cálculos!$I$3:$L$50,4,0),"")</f>
        <v>Kg</v>
      </c>
      <c r="F34">
        <v>2</v>
      </c>
      <c r="G34" s="6">
        <f>IFERROR(VLOOKUP(VendasSem3[[#This Row],[Produto]],cálculos!$I$3:$L$50,3,0),0)</f>
        <v>3.99</v>
      </c>
      <c r="H34" s="6">
        <f>IFERROR(VendasSem3[[#This Row],[Quantidade]]*VendasSem3[[#This Row],[Preço Unitário]],0)</f>
        <v>7.98</v>
      </c>
      <c r="I34" s="11"/>
      <c r="J34" t="s">
        <v>109</v>
      </c>
      <c r="K34" s="6">
        <f>IFERROR(IF(VendasSem3[[#This Row],[Id da Venda]]=B35,0,VLOOKUP(VendasSem3[[#This Row],[Região de Entrega]],cálculos!$B$5:$C$9,2,0)),0)</f>
        <v>0</v>
      </c>
      <c r="L34" s="6">
        <f>(VendasSem3[[#This Row],[Subtotal]]*(1-VendasSem3[[#This Row],[Desconto]])+VendasSem3[[#This Row],[Valor de Entrega]])</f>
        <v>7.98</v>
      </c>
      <c r="M34" s="6">
        <f>IF(VendasSem3[[#This Row],[Id da Venda]]=B35,"",SUMIF(VendasSem3[Id da Venda],VendasSem3[[#This Row],[Id da Venda]],VendasSem3[Total]))</f>
        <v>13.510000000000002</v>
      </c>
    </row>
    <row r="35" spans="2:13" x14ac:dyDescent="0.25">
      <c r="B35">
        <v>27</v>
      </c>
      <c r="C35" s="7">
        <v>45182</v>
      </c>
      <c r="D35" t="s">
        <v>32</v>
      </c>
      <c r="E35" t="str">
        <f>IFERROR(VLOOKUP(VendasSem3[[#This Row],[Produto]],cálculos!$I$3:$L$50,4,0),"")</f>
        <v>Kg</v>
      </c>
      <c r="F35">
        <v>4</v>
      </c>
      <c r="G35" s="6">
        <f>IFERROR(VLOOKUP(VendasSem3[[#This Row],[Produto]],cálculos!$I$3:$L$50,3,0),0)</f>
        <v>2.4900000000000002</v>
      </c>
      <c r="H35" s="6">
        <f>IFERROR(VendasSem3[[#This Row],[Quantidade]]*VendasSem3[[#This Row],[Preço Unitário]],0)</f>
        <v>9.9600000000000009</v>
      </c>
      <c r="I35" s="11"/>
      <c r="J35" t="s">
        <v>109</v>
      </c>
      <c r="K35" s="6">
        <f>IFERROR(IF(VendasSem3[[#This Row],[Id da Venda]]=B36,0,VLOOKUP(VendasSem3[[#This Row],[Região de Entrega]],cálculos!$B$5:$C$9,2,0)),0)</f>
        <v>0</v>
      </c>
      <c r="L35" s="6">
        <f>(VendasSem3[[#This Row],[Subtotal]]*(1-VendasSem3[[#This Row],[Desconto]])+VendasSem3[[#This Row],[Valor de Entrega]])</f>
        <v>9.9600000000000009</v>
      </c>
      <c r="M35" s="6" t="str">
        <f>IF(VendasSem3[[#This Row],[Id da Venda]]=B36,"",SUMIF(VendasSem3[Id da Venda],VendasSem3[[#This Row],[Id da Venda]],VendasSem3[Total]))</f>
        <v/>
      </c>
    </row>
    <row r="36" spans="2:13" x14ac:dyDescent="0.25">
      <c r="B36">
        <v>27</v>
      </c>
      <c r="C36" s="7">
        <v>45182</v>
      </c>
      <c r="D36" t="s">
        <v>34</v>
      </c>
      <c r="E36" t="str">
        <f>IFERROR(VLOOKUP(VendasSem3[[#This Row],[Produto]],cálculos!$I$3:$L$50,4,0),"")</f>
        <v>Kg</v>
      </c>
      <c r="F36">
        <v>3</v>
      </c>
      <c r="G36" s="6">
        <f>IFERROR(VLOOKUP(VendasSem3[[#This Row],[Produto]],cálculos!$I$3:$L$50,3,0),0)</f>
        <v>5.82</v>
      </c>
      <c r="H36" s="6">
        <f>IFERROR(VendasSem3[[#This Row],[Quantidade]]*VendasSem3[[#This Row],[Preço Unitário]],0)</f>
        <v>17.46</v>
      </c>
      <c r="I36" s="11"/>
      <c r="J36" t="s">
        <v>109</v>
      </c>
      <c r="K36" s="6">
        <f>IFERROR(IF(VendasSem3[[#This Row],[Id da Venda]]=B37,0,VLOOKUP(VendasSem3[[#This Row],[Região de Entrega]],cálculos!$B$5:$C$9,2,0)),0)</f>
        <v>0</v>
      </c>
      <c r="L36" s="6">
        <f>(VendasSem3[[#This Row],[Subtotal]]*(1-VendasSem3[[#This Row],[Desconto]])+VendasSem3[[#This Row],[Valor de Entrega]])</f>
        <v>17.46</v>
      </c>
      <c r="M36" s="6">
        <f>IF(VendasSem3[[#This Row],[Id da Venda]]=B52,"",SUMIF(VendasSem3[Id da Venda],VendasSem3[[#This Row],[Id da Venda]],VendasSem3[Total]))</f>
        <v>55.980000000000004</v>
      </c>
    </row>
    <row r="37" spans="2:13" x14ac:dyDescent="0.25">
      <c r="B37">
        <v>27</v>
      </c>
      <c r="C37" s="7">
        <v>45182</v>
      </c>
      <c r="D37" t="s">
        <v>44</v>
      </c>
      <c r="E37" t="str">
        <f>IFERROR(VLOOKUP(VendasSem3[[#This Row],[Produto]],cálculos!$I$3:$L$50,4,0),"")</f>
        <v>Pacote</v>
      </c>
      <c r="F37">
        <v>2</v>
      </c>
      <c r="G37" s="6">
        <f>IFERROR(VLOOKUP(VendasSem3[[#This Row],[Produto]],cálculos!$I$3:$L$50,3,0),0)</f>
        <v>1.1499999999999999</v>
      </c>
      <c r="H37" s="6">
        <f>IFERROR(VendasSem3[[#This Row],[Quantidade]]*VendasSem3[[#This Row],[Preço Unitário]],0)</f>
        <v>2.2999999999999998</v>
      </c>
      <c r="I37" s="11"/>
      <c r="J37" t="s">
        <v>109</v>
      </c>
      <c r="K37" s="6">
        <f>IFERROR(IF(VendasSem3[[#This Row],[Id da Venda]]=B38,0,VLOOKUP(VendasSem3[[#This Row],[Região de Entrega]],cálculos!$B$5:$C$9,2,0)),0)</f>
        <v>0</v>
      </c>
      <c r="L37" s="6">
        <f>(VendasSem3[[#This Row],[Subtotal]]*(1-VendasSem3[[#This Row],[Desconto]])+VendasSem3[[#This Row],[Valor de Entrega]])</f>
        <v>2.2999999999999998</v>
      </c>
      <c r="M37" s="6" t="str">
        <f>IF(VendasSem3[[#This Row],[Id da Venda]]=B38,"",SUMIF(VendasSem3[Id da Venda],VendasSem3[[#This Row],[Id da Venda]],VendasSem3[Total]))</f>
        <v/>
      </c>
    </row>
    <row r="38" spans="2:13" x14ac:dyDescent="0.25">
      <c r="B38">
        <v>27</v>
      </c>
      <c r="C38" s="7">
        <v>45182</v>
      </c>
      <c r="D38" t="s">
        <v>56</v>
      </c>
      <c r="E38" t="str">
        <f>IFERROR(VLOOKUP(VendasSem3[[#This Row],[Produto]],cálculos!$I$3:$L$50,4,0),"")</f>
        <v>Pacote</v>
      </c>
      <c r="F38">
        <v>3</v>
      </c>
      <c r="G38" s="6">
        <f>IFERROR(VLOOKUP(VendasSem3[[#This Row],[Produto]],cálculos!$I$3:$L$50,3,0),0)</f>
        <v>1.99</v>
      </c>
      <c r="H38" s="6">
        <f>IFERROR(VendasSem3[[#This Row],[Quantidade]]*VendasSem3[[#This Row],[Preço Unitário]],0)</f>
        <v>5.97</v>
      </c>
      <c r="I38" s="11"/>
      <c r="J38" t="s">
        <v>109</v>
      </c>
      <c r="K38" s="6">
        <f>IFERROR(IF(VendasSem3[[#This Row],[Id da Venda]]=B39,0,VLOOKUP(VendasSem3[[#This Row],[Região de Entrega]],cálculos!$B$5:$C$9,2,0)),0)</f>
        <v>0</v>
      </c>
      <c r="L38" s="6">
        <f>(VendasSem3[[#This Row],[Subtotal]]*(1-VendasSem3[[#This Row],[Desconto]])+VendasSem3[[#This Row],[Valor de Entrega]])</f>
        <v>5.97</v>
      </c>
      <c r="M38" s="6" t="str">
        <f>IF(VendasSem3[[#This Row],[Id da Venda]]=B39,"",SUMIF(VendasSem3[Id da Venda],VendasSem3[[#This Row],[Id da Venda]],VendasSem3[Total]))</f>
        <v/>
      </c>
    </row>
    <row r="39" spans="2:13" x14ac:dyDescent="0.25">
      <c r="B39">
        <v>27</v>
      </c>
      <c r="C39" s="7">
        <v>45182</v>
      </c>
      <c r="D39" t="s">
        <v>59</v>
      </c>
      <c r="E39" t="str">
        <f>IFERROR(VLOOKUP(VendasSem3[[#This Row],[Produto]],cálculos!$I$3:$L$50,4,0),"")</f>
        <v>Pacote</v>
      </c>
      <c r="F39">
        <v>2</v>
      </c>
      <c r="G39" s="6">
        <f>IFERROR(VLOOKUP(VendasSem3[[#This Row],[Produto]],cálculos!$I$3:$L$50,3,0),0)</f>
        <v>1.1499999999999999</v>
      </c>
      <c r="H39" s="6">
        <f>IFERROR(VendasSem3[[#This Row],[Quantidade]]*VendasSem3[[#This Row],[Preço Unitário]],0)</f>
        <v>2.2999999999999998</v>
      </c>
      <c r="I39" s="11"/>
      <c r="J39" t="s">
        <v>109</v>
      </c>
      <c r="K39" s="6">
        <f>IFERROR(IF(VendasSem3[[#This Row],[Id da Venda]]=B40,0,VLOOKUP(VendasSem3[[#This Row],[Região de Entrega]],cálculos!$B$5:$C$9,2,0)),0)</f>
        <v>0</v>
      </c>
      <c r="L39" s="6">
        <f>(VendasSem3[[#This Row],[Subtotal]]*(1-VendasSem3[[#This Row],[Desconto]])+VendasSem3[[#This Row],[Valor de Entrega]])</f>
        <v>2.2999999999999998</v>
      </c>
      <c r="M39" s="6" t="str">
        <f>IF(VendasSem3[[#This Row],[Id da Venda]]=B40,"",SUMIF(VendasSem3[Id da Venda],VendasSem3[[#This Row],[Id da Venda]],VendasSem3[Total]))</f>
        <v/>
      </c>
    </row>
    <row r="40" spans="2:13" x14ac:dyDescent="0.25">
      <c r="B40">
        <v>27</v>
      </c>
      <c r="C40" s="7">
        <v>45182</v>
      </c>
      <c r="D40" t="s">
        <v>57</v>
      </c>
      <c r="E40" t="str">
        <f>IFERROR(VLOOKUP(VendasSem3[[#This Row],[Produto]],cálculos!$I$3:$L$50,4,0),"")</f>
        <v>Barra</v>
      </c>
      <c r="F40">
        <v>1</v>
      </c>
      <c r="G40" s="6">
        <f>IFERROR(VLOOKUP(VendasSem3[[#This Row],[Produto]],cálculos!$I$3:$L$50,3,0),0)</f>
        <v>4.99</v>
      </c>
      <c r="H40" s="6">
        <f>IFERROR(VendasSem3[[#This Row],[Quantidade]]*VendasSem3[[#This Row],[Preço Unitário]],0)</f>
        <v>4.99</v>
      </c>
      <c r="I40" s="11"/>
      <c r="J40" t="s">
        <v>109</v>
      </c>
      <c r="K40" s="6">
        <f>IFERROR(IF(VendasSem3[[#This Row],[Id da Venda]]=B41,0,VLOOKUP(VendasSem3[[#This Row],[Região de Entrega]],cálculos!$B$5:$C$9,2,0)),0)</f>
        <v>0</v>
      </c>
      <c r="L40" s="6">
        <f>(VendasSem3[[#This Row],[Subtotal]]*(1-VendasSem3[[#This Row],[Desconto]])+VendasSem3[[#This Row],[Valor de Entrega]])</f>
        <v>4.99</v>
      </c>
      <c r="M40" s="6" t="str">
        <f>IF(VendasSem3[[#This Row],[Id da Venda]]=B41,"",SUMIF(VendasSem3[Id da Venda],VendasSem3[[#This Row],[Id da Venda]],VendasSem3[Total]))</f>
        <v/>
      </c>
    </row>
    <row r="41" spans="2:13" x14ac:dyDescent="0.25">
      <c r="B41">
        <v>27</v>
      </c>
      <c r="C41" s="7">
        <v>45182</v>
      </c>
      <c r="D41" t="s">
        <v>47</v>
      </c>
      <c r="E41" t="str">
        <f>IFERROR(VLOOKUP(VendasSem3[[#This Row],[Produto]],cálculos!$I$3:$L$50,4,0),"")</f>
        <v>Unidade</v>
      </c>
      <c r="F41">
        <v>5</v>
      </c>
      <c r="G41" s="6">
        <f>IFERROR(VLOOKUP(VendasSem3[[#This Row],[Produto]],cálculos!$I$3:$L$50,3,0),0)</f>
        <v>2.6</v>
      </c>
      <c r="H41" s="6">
        <f>IFERROR(VendasSem3[[#This Row],[Quantidade]]*VendasSem3[[#This Row],[Preço Unitário]],0)</f>
        <v>13</v>
      </c>
      <c r="I41" s="11"/>
      <c r="J41" t="s">
        <v>109</v>
      </c>
      <c r="K41" s="6">
        <f>IFERROR(IF(VendasSem3[[#This Row],[Id da Venda]]=B42,0,VLOOKUP(VendasSem3[[#This Row],[Região de Entrega]],cálculos!$B$5:$C$9,2,0)),0)</f>
        <v>0</v>
      </c>
      <c r="L41" s="6">
        <f>(VendasSem3[[#This Row],[Subtotal]]*(1-VendasSem3[[#This Row],[Desconto]])+VendasSem3[[#This Row],[Valor de Entrega]])</f>
        <v>13</v>
      </c>
      <c r="M41" s="6">
        <f>IF(VendasSem3[[#This Row],[Id da Venda]]=B47,"",SUMIF(VendasSem3[Id da Venda],VendasSem3[[#This Row],[Id da Venda]],VendasSem3[Total]))</f>
        <v>55.980000000000004</v>
      </c>
    </row>
    <row r="42" spans="2:13" x14ac:dyDescent="0.25">
      <c r="B42">
        <v>28</v>
      </c>
      <c r="C42" s="7">
        <v>45182</v>
      </c>
      <c r="D42" t="s">
        <v>58</v>
      </c>
      <c r="E42" t="str">
        <f>IFERROR(VLOOKUP(VendasSem3[[#This Row],[Produto]],cálculos!$I$3:$L$50,4,0),"")</f>
        <v>Maço</v>
      </c>
      <c r="F42">
        <v>1</v>
      </c>
      <c r="G42" s="6">
        <f>IFERROR(VLOOKUP(VendasSem3[[#This Row],[Produto]],cálculos!$I$3:$L$50,3,0),0)</f>
        <v>6.75</v>
      </c>
      <c r="H42" s="6">
        <f>IFERROR(VendasSem3[[#This Row],[Quantidade]]*VendasSem3[[#This Row],[Preço Unitário]],0)</f>
        <v>6.75</v>
      </c>
      <c r="I42" s="11"/>
      <c r="J42" t="s">
        <v>108</v>
      </c>
      <c r="K42" s="6">
        <f>IFERROR(IF(VendasSem3[[#This Row],[Id da Venda]]=B43,0,VLOOKUP(VendasSem3[[#This Row],[Região de Entrega]],cálculos!$B$5:$C$9,2,0)),0)</f>
        <v>0</v>
      </c>
      <c r="L42" s="6">
        <f>(VendasSem3[[#This Row],[Subtotal]]*(1-VendasSem3[[#This Row],[Desconto]])+VendasSem3[[#This Row],[Valor de Entrega]])</f>
        <v>6.75</v>
      </c>
      <c r="M42" s="6" t="str">
        <f>IF(VendasSem3[[#This Row],[Id da Venda]]=B43,"",SUMIF(VendasSem3[Id da Venda],VendasSem3[[#This Row],[Id da Venda]],VendasSem3[Total]))</f>
        <v/>
      </c>
    </row>
    <row r="43" spans="2:13" x14ac:dyDescent="0.25">
      <c r="B43">
        <v>28</v>
      </c>
      <c r="C43" s="7">
        <v>45182</v>
      </c>
      <c r="D43" t="s">
        <v>33</v>
      </c>
      <c r="E43" t="str">
        <f>IFERROR(VLOOKUP(VendasSem3[[#This Row],[Produto]],cálculos!$I$3:$L$50,4,0),"")</f>
        <v>Kg</v>
      </c>
      <c r="F43">
        <v>2</v>
      </c>
      <c r="G43" s="6">
        <f>IFERROR(VLOOKUP(VendasSem3[[#This Row],[Produto]],cálculos!$I$3:$L$50,3,0),0)</f>
        <v>4.28</v>
      </c>
      <c r="H43" s="6">
        <f>IFERROR(VendasSem3[[#This Row],[Quantidade]]*VendasSem3[[#This Row],[Preço Unitário]],0)</f>
        <v>8.56</v>
      </c>
      <c r="I43" s="11"/>
      <c r="J43" t="s">
        <v>108</v>
      </c>
      <c r="K43" s="6">
        <f>IFERROR(IF(VendasSem3[[#This Row],[Id da Venda]]=B44,0,VLOOKUP(VendasSem3[[#This Row],[Região de Entrega]],cálculos!$B$5:$C$9,2,0)),0)</f>
        <v>0</v>
      </c>
      <c r="L43" s="6">
        <f>(VendasSem3[[#This Row],[Subtotal]]*(1-VendasSem3[[#This Row],[Desconto]])+VendasSem3[[#This Row],[Valor de Entrega]])</f>
        <v>8.56</v>
      </c>
      <c r="M43" s="6" t="str">
        <f>IF(VendasSem3[[#This Row],[Id da Venda]]=B44,"",SUMIF(VendasSem3[Id da Venda],VendasSem3[[#This Row],[Id da Venda]],VendasSem3[Total]))</f>
        <v/>
      </c>
    </row>
    <row r="44" spans="2:13" x14ac:dyDescent="0.25">
      <c r="B44">
        <v>28</v>
      </c>
      <c r="C44" s="7">
        <v>45182</v>
      </c>
      <c r="D44" t="s">
        <v>71</v>
      </c>
      <c r="E44" t="str">
        <f>IFERROR(VLOOKUP(VendasSem3[[#This Row],[Produto]],cálculos!$I$3:$L$50,4,0),"")</f>
        <v>Unidade</v>
      </c>
      <c r="F44">
        <v>3</v>
      </c>
      <c r="G44" s="6">
        <f>IFERROR(VLOOKUP(VendasSem3[[#This Row],[Produto]],cálculos!$I$3:$L$50,3,0),0)</f>
        <v>2.89</v>
      </c>
      <c r="H44" s="6">
        <f>IFERROR(VendasSem3[[#This Row],[Quantidade]]*VendasSem3[[#This Row],[Preço Unitário]],0)</f>
        <v>8.67</v>
      </c>
      <c r="I44" s="11"/>
      <c r="J44" t="s">
        <v>108</v>
      </c>
      <c r="K44" s="6">
        <f>IFERROR(IF(VendasSem3[[#This Row],[Id da Venda]]=B45,0,VLOOKUP(VendasSem3[[#This Row],[Região de Entrega]],cálculos!$B$5:$C$9,2,0)),0)</f>
        <v>0</v>
      </c>
      <c r="L44" s="6">
        <f>(VendasSem3[[#This Row],[Subtotal]]*(1-VendasSem3[[#This Row],[Desconto]])+VendasSem3[[#This Row],[Valor de Entrega]])</f>
        <v>8.67</v>
      </c>
      <c r="M44" s="6" t="str">
        <f>IF(VendasSem3[[#This Row],[Id da Venda]]=B45,"",SUMIF(VendasSem3[Id da Venda],VendasSem3[[#This Row],[Id da Venda]],VendasSem3[Total]))</f>
        <v/>
      </c>
    </row>
    <row r="45" spans="2:13" x14ac:dyDescent="0.25">
      <c r="B45">
        <v>28</v>
      </c>
      <c r="C45" s="7">
        <v>45182</v>
      </c>
      <c r="D45" t="s">
        <v>56</v>
      </c>
      <c r="E45" t="str">
        <f>IFERROR(VLOOKUP(VendasSem3[[#This Row],[Produto]],cálculos!$I$3:$L$50,4,0),"")</f>
        <v>Pacote</v>
      </c>
      <c r="F45">
        <v>1</v>
      </c>
      <c r="G45" s="6">
        <f>IFERROR(VLOOKUP(VendasSem3[[#This Row],[Produto]],cálculos!$I$3:$L$50,3,0),0)</f>
        <v>1.99</v>
      </c>
      <c r="H45" s="6">
        <f>IFERROR(VendasSem3[[#This Row],[Quantidade]]*VendasSem3[[#This Row],[Preço Unitário]],0)</f>
        <v>1.99</v>
      </c>
      <c r="I45" s="11"/>
      <c r="J45" t="s">
        <v>108</v>
      </c>
      <c r="K45" s="6">
        <f>IFERROR(IF(VendasSem3[[#This Row],[Id da Venda]]=B46,0,VLOOKUP(VendasSem3[[#This Row],[Região de Entrega]],cálculos!$B$5:$C$9,2,0)),0)</f>
        <v>0</v>
      </c>
      <c r="L45" s="6">
        <f>(VendasSem3[[#This Row],[Subtotal]]*(1-VendasSem3[[#This Row],[Desconto]])+VendasSem3[[#This Row],[Valor de Entrega]])</f>
        <v>1.99</v>
      </c>
      <c r="M45" s="6" t="str">
        <f>IF(VendasSem3[[#This Row],[Id da Venda]]=B46,"",SUMIF(VendasSem3[Id da Venda],VendasSem3[[#This Row],[Id da Venda]],VendasSem3[Total]))</f>
        <v/>
      </c>
    </row>
    <row r="46" spans="2:13" x14ac:dyDescent="0.25">
      <c r="B46">
        <v>28</v>
      </c>
      <c r="C46" s="7">
        <v>45182</v>
      </c>
      <c r="D46" t="s">
        <v>72</v>
      </c>
      <c r="E46" t="str">
        <f>IFERROR(VLOOKUP(VendasSem3[[#This Row],[Produto]],cálculos!$I$3:$L$50,4,0),"")</f>
        <v>Litro</v>
      </c>
      <c r="F46">
        <v>1</v>
      </c>
      <c r="G46" s="6">
        <f>IFERROR(VLOOKUP(VendasSem3[[#This Row],[Produto]],cálculos!$I$3:$L$50,3,0),0)</f>
        <v>2.39</v>
      </c>
      <c r="H46" s="6">
        <f>IFERROR(VendasSem3[[#This Row],[Quantidade]]*VendasSem3[[#This Row],[Preço Unitário]],0)</f>
        <v>2.39</v>
      </c>
      <c r="I46" s="11"/>
      <c r="J46" t="s">
        <v>108</v>
      </c>
      <c r="K46" s="6">
        <f>IFERROR(IF(VendasSem3[[#This Row],[Id da Venda]]=B47,0,VLOOKUP(VendasSem3[[#This Row],[Região de Entrega]],cálculos!$B$5:$C$9,2,0)),0)</f>
        <v>10</v>
      </c>
      <c r="L46" s="6">
        <f>(VendasSem3[[#This Row],[Subtotal]]*(1-VendasSem3[[#This Row],[Desconto]])+VendasSem3[[#This Row],[Valor de Entrega]])</f>
        <v>12.39</v>
      </c>
      <c r="M46" s="6">
        <f>IF(VendasSem3[[#This Row],[Id da Venda]]=B47,"",SUMIF(VendasSem3[Id da Venda],VendasSem3[[#This Row],[Id da Venda]],VendasSem3[Total]))</f>
        <v>38.36</v>
      </c>
    </row>
    <row r="47" spans="2:13" x14ac:dyDescent="0.25">
      <c r="B47">
        <v>29</v>
      </c>
      <c r="C47" s="7">
        <v>45183</v>
      </c>
      <c r="D47" t="s">
        <v>42</v>
      </c>
      <c r="E47" t="str">
        <f>IFERROR(VLOOKUP(VendasSem3[[#This Row],[Produto]],cálculos!$I$3:$L$50,4,0),"")</f>
        <v>Kg</v>
      </c>
      <c r="F47">
        <v>2</v>
      </c>
      <c r="G47" s="6">
        <f>IFERROR(VLOOKUP(VendasSem3[[#This Row],[Produto]],cálculos!$I$3:$L$50,3,0),0)</f>
        <v>3.99</v>
      </c>
      <c r="H47" s="6">
        <f>IFERROR(VendasSem3[[#This Row],[Quantidade]]*VendasSem3[[#This Row],[Preço Unitário]],0)</f>
        <v>7.98</v>
      </c>
      <c r="I47" s="11"/>
      <c r="J47" t="s">
        <v>109</v>
      </c>
      <c r="K47" s="6">
        <f>IFERROR(IF(VendasSem3[[#This Row],[Id da Venda]]=B48,0,VLOOKUP(VendasSem3[[#This Row],[Região de Entrega]],cálculos!$B$5:$C$9,2,0)),0)</f>
        <v>0</v>
      </c>
      <c r="L47" s="6">
        <f>(VendasSem3[[#This Row],[Subtotal]]*(1-VendasSem3[[#This Row],[Desconto]])+VendasSem3[[#This Row],[Valor de Entrega]])</f>
        <v>7.98</v>
      </c>
      <c r="M47" s="6">
        <f>IF(VendasSem3[[#This Row],[Id da Venda]]=B52,"",SUMIF(VendasSem3[Id da Venda],VendasSem3[[#This Row],[Id da Venda]],VendasSem3[Total]))</f>
        <v>7.98</v>
      </c>
    </row>
    <row r="48" spans="2:13" x14ac:dyDescent="0.25">
      <c r="B48">
        <v>30</v>
      </c>
      <c r="C48" s="7">
        <v>45184</v>
      </c>
      <c r="D48" t="s">
        <v>45</v>
      </c>
      <c r="E48" t="str">
        <f>IFERROR(VLOOKUP(VendasSem3[[#This Row],[Produto]],cálculos!$I$3:$L$50,4,0),"")</f>
        <v>Lata</v>
      </c>
      <c r="F48">
        <v>12</v>
      </c>
      <c r="G48" s="6">
        <f>IFERROR(VLOOKUP(VendasSem3[[#This Row],[Produto]],cálculos!$I$3:$L$50,3,0),0)</f>
        <v>2.19</v>
      </c>
      <c r="H48" s="6">
        <f>IFERROR(VendasSem3[[#This Row],[Quantidade]]*VendasSem3[[#This Row],[Preço Unitário]],0)</f>
        <v>26.28</v>
      </c>
      <c r="I48" s="11"/>
      <c r="J48" t="s">
        <v>109</v>
      </c>
      <c r="K48" s="6">
        <f>IFERROR(IF(VendasSem3[[#This Row],[Id da Venda]]=B49,0,VLOOKUP(VendasSem3[[#This Row],[Região de Entrega]],cálculos!$B$5:$C$9,2,0)),0)</f>
        <v>0</v>
      </c>
      <c r="L48" s="6">
        <f>(VendasSem3[[#This Row],[Subtotal]]*(1-VendasSem3[[#This Row],[Desconto]])+VendasSem3[[#This Row],[Valor de Entrega]])</f>
        <v>26.28</v>
      </c>
      <c r="M48" s="6">
        <f>IF(VendasSem3[[#This Row],[Id da Venda]]=B49,"",SUMIF(VendasSem3[Id da Venda],VendasSem3[[#This Row],[Id da Venda]],VendasSem3[Total]))</f>
        <v>26.28</v>
      </c>
    </row>
    <row r="49" spans="2:13" x14ac:dyDescent="0.25">
      <c r="B49">
        <v>31</v>
      </c>
      <c r="C49" s="7">
        <v>45185</v>
      </c>
      <c r="D49" t="s">
        <v>40</v>
      </c>
      <c r="E49" t="str">
        <f>IFERROR(VLOOKUP(VendasSem3[[#This Row],[Produto]],cálculos!$I$3:$L$50,4,0),"")</f>
        <v>Garrafa</v>
      </c>
      <c r="F49">
        <v>4</v>
      </c>
      <c r="G49" s="6">
        <f>IFERROR(VLOOKUP(VendasSem3[[#This Row],[Produto]],cálculos!$I$3:$L$50,3,0),0)</f>
        <v>29.9</v>
      </c>
      <c r="H49" s="6">
        <f>IFERROR(VendasSem3[[#This Row],[Quantidade]]*VendasSem3[[#This Row],[Preço Unitário]],0)</f>
        <v>119.6</v>
      </c>
      <c r="I49" s="11"/>
      <c r="J49" t="s">
        <v>109</v>
      </c>
      <c r="K49" s="6">
        <f>IFERROR(IF(VendasSem3[[#This Row],[Id da Venda]]=B50,0,VLOOKUP(VendasSem3[[#This Row],[Região de Entrega]],cálculos!$B$5:$C$9,2,0)),0)</f>
        <v>0</v>
      </c>
      <c r="L49" s="6">
        <f>(VendasSem3[[#This Row],[Subtotal]]*(1-VendasSem3[[#This Row],[Desconto]])+VendasSem3[[#This Row],[Valor de Entrega]])</f>
        <v>119.6</v>
      </c>
      <c r="M49" s="6" t="str">
        <f>IF(VendasSem3[[#This Row],[Id da Venda]]=B50,"",SUMIF(VendasSem3[Id da Venda],VendasSem3[[#This Row],[Id da Venda]],VendasSem3[Total]))</f>
        <v/>
      </c>
    </row>
    <row r="50" spans="2:13" x14ac:dyDescent="0.25">
      <c r="B50">
        <v>31</v>
      </c>
      <c r="C50" s="7">
        <v>45185</v>
      </c>
      <c r="D50" t="s">
        <v>36</v>
      </c>
      <c r="E50" t="str">
        <f>IFERROR(VLOOKUP(VendasSem3[[#This Row],[Produto]],cálculos!$I$3:$L$50,4,0),"")</f>
        <v>Kg</v>
      </c>
      <c r="F50">
        <v>2</v>
      </c>
      <c r="G50" s="6">
        <f>IFERROR(VLOOKUP(VendasSem3[[#This Row],[Produto]],cálculos!$I$3:$L$50,3,0),0)</f>
        <v>15.9</v>
      </c>
      <c r="H50" s="6">
        <f>IFERROR(VendasSem3[[#This Row],[Quantidade]]*VendasSem3[[#This Row],[Preço Unitário]],0)</f>
        <v>31.8</v>
      </c>
      <c r="I50" s="11"/>
      <c r="J50" t="s">
        <v>109</v>
      </c>
      <c r="K50" s="6">
        <f>IFERROR(IF(VendasSem3[[#This Row],[Id da Venda]]=B51,0,VLOOKUP(VendasSem3[[#This Row],[Região de Entrega]],cálculos!$B$5:$C$9,2,0)),0)</f>
        <v>0</v>
      </c>
      <c r="L50" s="6">
        <f>(VendasSem3[[#This Row],[Subtotal]]*(1-VendasSem3[[#This Row],[Desconto]])+VendasSem3[[#This Row],[Valor de Entrega]])</f>
        <v>31.8</v>
      </c>
      <c r="M50" s="6" t="str">
        <f>IF(VendasSem3[[#This Row],[Id da Venda]]=B51,"",SUMIF(VendasSem3[Id da Venda],VendasSem3[[#This Row],[Id da Venda]],VendasSem3[Total]))</f>
        <v/>
      </c>
    </row>
    <row r="51" spans="2:13" x14ac:dyDescent="0.25">
      <c r="B51">
        <v>31</v>
      </c>
      <c r="C51" s="7">
        <v>45185</v>
      </c>
      <c r="D51" t="s">
        <v>39</v>
      </c>
      <c r="E51" t="str">
        <f>IFERROR(VLOOKUP(VendasSem3[[#This Row],[Produto]],cálculos!$I$3:$L$50,4,0),"")</f>
        <v>Kg</v>
      </c>
      <c r="F51">
        <v>2</v>
      </c>
      <c r="G51" s="6">
        <f>IFERROR(VLOOKUP(VendasSem3[[#This Row],[Produto]],cálculos!$I$3:$L$50,3,0),0)</f>
        <v>25.9</v>
      </c>
      <c r="H51" s="6">
        <f>IFERROR(VendasSem3[[#This Row],[Quantidade]]*VendasSem3[[#This Row],[Preço Unitário]],0)</f>
        <v>51.8</v>
      </c>
      <c r="I51" s="11"/>
      <c r="J51" t="s">
        <v>109</v>
      </c>
      <c r="K51" s="6">
        <f>IFERROR(IF(VendasSem3[[#This Row],[Id da Venda]]=B52,0,VLOOKUP(VendasSem3[[#This Row],[Região de Entrega]],cálculos!$B$5:$C$9,2,0)),0)</f>
        <v>0</v>
      </c>
      <c r="L51" s="6">
        <f>(VendasSem3[[#This Row],[Subtotal]]*(1-VendasSem3[[#This Row],[Desconto]])+VendasSem3[[#This Row],[Valor de Entrega]])</f>
        <v>51.8</v>
      </c>
      <c r="M51" s="6">
        <f>IF(VendasSem3[[#This Row],[Id da Venda]]=B52,"",SUMIF(VendasSem3[Id da Venda],VendasSem3[[#This Row],[Id da Venda]],VendasSem3[Total]))</f>
        <v>203.2</v>
      </c>
    </row>
    <row r="52" spans="2:13" x14ac:dyDescent="0.25">
      <c r="B52">
        <v>32</v>
      </c>
      <c r="C52" s="7">
        <v>45185</v>
      </c>
      <c r="D52" t="s">
        <v>45</v>
      </c>
      <c r="E52" t="str">
        <f>IFERROR(VLOOKUP(VendasSem3[[#This Row],[Produto]],cálculos!$I$3:$L$50,4,0),"")</f>
        <v>Lata</v>
      </c>
      <c r="F52">
        <v>5</v>
      </c>
      <c r="G52" s="6">
        <f>IFERROR(VLOOKUP(VendasSem3[[#This Row],[Produto]],cálculos!$I$3:$L$50,3,0),0)</f>
        <v>2.19</v>
      </c>
      <c r="H52" s="6">
        <f>IFERROR(VendasSem3[[#This Row],[Quantidade]]*VendasSem3[[#This Row],[Preço Unitário]],0)</f>
        <v>10.95</v>
      </c>
      <c r="I52" s="11"/>
      <c r="J52" t="s">
        <v>109</v>
      </c>
      <c r="K52" s="6">
        <f>IFERROR(IF(VendasSem3[[#This Row],[Id da Venda]]=B53,0,VLOOKUP(VendasSem3[[#This Row],[Região de Entrega]],cálculos!$B$5:$C$9,2,0)),0)</f>
        <v>0</v>
      </c>
      <c r="L52" s="6">
        <f>(VendasSem3[[#This Row],[Subtotal]]*(1-VendasSem3[[#This Row],[Desconto]])+VendasSem3[[#This Row],[Valor de Entrega]])</f>
        <v>10.95</v>
      </c>
      <c r="M52" s="6">
        <f>IF(VendasSem3[[#This Row],[Id da Venda]]=B53,"",SUMIF(VendasSem3[Id da Venda],VendasSem3[[#This Row],[Id da Venda]],VendasSem3[Total]))</f>
        <v>10.95</v>
      </c>
    </row>
    <row r="53" spans="2:13" x14ac:dyDescent="0.25">
      <c r="H53" s="6"/>
    </row>
    <row r="54" spans="2:13" ht="18.75" x14ac:dyDescent="0.3">
      <c r="B54" s="26" t="s">
        <v>113</v>
      </c>
      <c r="C54" s="27"/>
      <c r="D54" s="27"/>
      <c r="E54" s="28"/>
      <c r="F54" s="27"/>
      <c r="G54" s="27"/>
      <c r="H54" s="27"/>
      <c r="I54" s="27"/>
      <c r="J54" s="27"/>
      <c r="K54" s="27"/>
      <c r="L54" s="27"/>
      <c r="M54" s="29" cm="1">
        <f t="array" ref="M54">SUM(VendasSem3[Total]-M55)</f>
        <v>2939.9900000000007</v>
      </c>
    </row>
    <row r="55" spans="2:13" ht="18.75" x14ac:dyDescent="0.3">
      <c r="B55" s="30" t="s">
        <v>114</v>
      </c>
      <c r="C55" s="31"/>
      <c r="D55" s="31"/>
      <c r="E55" s="31"/>
      <c r="F55" s="31"/>
      <c r="G55" s="31"/>
      <c r="H55" s="31"/>
      <c r="I55" s="31"/>
      <c r="J55" s="31"/>
      <c r="K55" s="31"/>
      <c r="L55" s="31"/>
      <c r="M55" s="32">
        <f>SUM(VendasSem3[Valor de Entrega])</f>
        <v>32</v>
      </c>
    </row>
    <row r="56" spans="2:13" ht="18.75" x14ac:dyDescent="0.3">
      <c r="B56" s="30" t="s">
        <v>149</v>
      </c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52" cm="1">
        <f t="array" ref="M56">SUM(IF(FREQUENCY(VendasSem3[Id da Venda],VendasSem3[Id da Venda])&gt;0,1,0))</f>
        <v>10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F9A0627-5873-4B60-AD68-0E81DDA2B5DB}">
          <x14:formula1>
            <xm:f>cálculos!$B$5:$B$9</xm:f>
          </x14:formula1>
          <xm:sqref>J5:J52</xm:sqref>
        </x14:dataValidation>
        <x14:dataValidation type="list" allowBlank="1" showInputMessage="1" showErrorMessage="1" xr:uid="{0F22935F-074F-418B-B37E-18890650589A}">
          <x14:formula1>
            <xm:f>cálculos!$I$3:$I$100</xm:f>
          </x14:formula1>
          <xm:sqref>D5:D52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59E06-0887-4E31-A40F-FA5531985804}">
  <dimension ref="A4:J43"/>
  <sheetViews>
    <sheetView showGridLines="0" topLeftCell="B1" workbookViewId="0">
      <selection activeCell="D7" sqref="D7"/>
    </sheetView>
  </sheetViews>
  <sheetFormatPr defaultRowHeight="15" x14ac:dyDescent="0.25"/>
  <cols>
    <col min="1" max="1" width="19.42578125" bestFit="1" customWidth="1"/>
    <col min="2" max="2" width="19.85546875" bestFit="1" customWidth="1"/>
    <col min="3" max="3" width="13.7109375" bestFit="1" customWidth="1"/>
    <col min="7" max="7" width="18.42578125" bestFit="1" customWidth="1"/>
    <col min="8" max="8" width="19.85546875" bestFit="1" customWidth="1"/>
    <col min="9" max="9" width="24.140625" bestFit="1" customWidth="1"/>
    <col min="10" max="10" width="13.7109375" bestFit="1" customWidth="1"/>
  </cols>
  <sheetData>
    <row r="4" spans="1:10" x14ac:dyDescent="0.25">
      <c r="A4" s="75" t="s">
        <v>167</v>
      </c>
      <c r="B4" t="s">
        <v>169</v>
      </c>
      <c r="C4" t="s">
        <v>170</v>
      </c>
      <c r="G4" s="75" t="s">
        <v>167</v>
      </c>
      <c r="H4" t="s">
        <v>169</v>
      </c>
      <c r="I4" t="s">
        <v>171</v>
      </c>
      <c r="J4" t="s">
        <v>170</v>
      </c>
    </row>
    <row r="5" spans="1:10" x14ac:dyDescent="0.25">
      <c r="A5" s="76">
        <v>45171</v>
      </c>
      <c r="B5">
        <v>17</v>
      </c>
      <c r="C5" s="77">
        <v>70.63300000000001</v>
      </c>
      <c r="G5" s="79" t="s">
        <v>108</v>
      </c>
      <c r="H5">
        <v>1</v>
      </c>
      <c r="I5" s="77">
        <v>10</v>
      </c>
      <c r="J5" s="77">
        <v>12.39</v>
      </c>
    </row>
    <row r="6" spans="1:10" x14ac:dyDescent="0.25">
      <c r="A6" s="78" t="s">
        <v>32</v>
      </c>
      <c r="B6">
        <v>10</v>
      </c>
      <c r="C6" s="77">
        <v>34.153000000000006</v>
      </c>
      <c r="G6" s="79" t="s">
        <v>109</v>
      </c>
      <c r="H6">
        <v>43</v>
      </c>
      <c r="I6" s="77">
        <v>0</v>
      </c>
      <c r="J6" s="77">
        <v>330.14</v>
      </c>
    </row>
    <row r="7" spans="1:10" x14ac:dyDescent="0.25">
      <c r="A7" s="78" t="s">
        <v>48</v>
      </c>
      <c r="B7">
        <v>2</v>
      </c>
      <c r="C7" s="77">
        <v>1.58</v>
      </c>
      <c r="G7" s="79" t="s">
        <v>112</v>
      </c>
      <c r="H7">
        <v>80</v>
      </c>
      <c r="I7" s="77">
        <v>7</v>
      </c>
      <c r="J7" s="77">
        <v>565.40000000000009</v>
      </c>
    </row>
    <row r="8" spans="1:10" x14ac:dyDescent="0.25">
      <c r="A8" s="78" t="s">
        <v>37</v>
      </c>
      <c r="B8">
        <v>5</v>
      </c>
      <c r="C8" s="77">
        <v>34.900000000000006</v>
      </c>
      <c r="G8" s="79" t="s">
        <v>172</v>
      </c>
      <c r="H8">
        <v>617</v>
      </c>
      <c r="I8" s="77">
        <v>0</v>
      </c>
      <c r="J8" s="77">
        <v>3394.06</v>
      </c>
    </row>
    <row r="9" spans="1:10" x14ac:dyDescent="0.25">
      <c r="A9" s="76">
        <v>45173</v>
      </c>
      <c r="B9">
        <v>40</v>
      </c>
      <c r="C9" s="77">
        <v>87.6</v>
      </c>
      <c r="G9" s="79" t="s">
        <v>111</v>
      </c>
      <c r="H9">
        <v>10</v>
      </c>
      <c r="I9" s="77">
        <v>15</v>
      </c>
      <c r="J9" s="77">
        <v>174</v>
      </c>
    </row>
    <row r="10" spans="1:10" x14ac:dyDescent="0.25">
      <c r="A10" s="78" t="s">
        <v>45</v>
      </c>
      <c r="B10">
        <v>40</v>
      </c>
      <c r="C10" s="77">
        <v>87.6</v>
      </c>
      <c r="G10" s="79" t="s">
        <v>168</v>
      </c>
      <c r="H10">
        <v>751</v>
      </c>
      <c r="I10" s="77">
        <v>32</v>
      </c>
      <c r="J10" s="77">
        <v>4475.99</v>
      </c>
    </row>
    <row r="11" spans="1:10" x14ac:dyDescent="0.25">
      <c r="A11" s="76">
        <v>45174</v>
      </c>
      <c r="B11">
        <v>42</v>
      </c>
      <c r="C11" s="77">
        <v>288.74200000000002</v>
      </c>
    </row>
    <row r="12" spans="1:10" x14ac:dyDescent="0.25">
      <c r="A12" s="78" t="s">
        <v>32</v>
      </c>
      <c r="B12">
        <v>10</v>
      </c>
      <c r="C12" s="77">
        <v>24.900000000000002</v>
      </c>
    </row>
    <row r="13" spans="1:10" x14ac:dyDescent="0.25">
      <c r="A13" s="78" t="s">
        <v>56</v>
      </c>
      <c r="B13">
        <v>5</v>
      </c>
      <c r="C13" s="77">
        <v>24.95</v>
      </c>
    </row>
    <row r="14" spans="1:10" x14ac:dyDescent="0.25">
      <c r="A14" s="78" t="s">
        <v>36</v>
      </c>
      <c r="B14">
        <v>6</v>
      </c>
      <c r="C14" s="77">
        <v>95.4</v>
      </c>
    </row>
    <row r="15" spans="1:10" x14ac:dyDescent="0.25">
      <c r="A15" s="78" t="s">
        <v>42</v>
      </c>
      <c r="B15">
        <v>3</v>
      </c>
      <c r="C15" s="77">
        <v>11.97</v>
      </c>
    </row>
    <row r="16" spans="1:10" x14ac:dyDescent="0.25">
      <c r="A16" s="78" t="s">
        <v>33</v>
      </c>
      <c r="B16">
        <v>5</v>
      </c>
      <c r="C16" s="77">
        <v>21.400000000000002</v>
      </c>
    </row>
    <row r="17" spans="1:3" x14ac:dyDescent="0.25">
      <c r="A17" s="78" t="s">
        <v>38</v>
      </c>
      <c r="B17">
        <v>3</v>
      </c>
      <c r="C17" s="77">
        <v>86.699999999999989</v>
      </c>
    </row>
    <row r="18" spans="1:3" x14ac:dyDescent="0.25">
      <c r="A18" s="78" t="s">
        <v>72</v>
      </c>
      <c r="B18">
        <v>10</v>
      </c>
      <c r="C18" s="77">
        <v>23.422000000000001</v>
      </c>
    </row>
    <row r="19" spans="1:3" x14ac:dyDescent="0.25">
      <c r="A19" s="76">
        <v>45175</v>
      </c>
      <c r="B19">
        <v>6</v>
      </c>
      <c r="C19" s="77">
        <v>41.42</v>
      </c>
    </row>
    <row r="20" spans="1:3" x14ac:dyDescent="0.25">
      <c r="A20" s="78" t="s">
        <v>58</v>
      </c>
      <c r="B20">
        <v>2</v>
      </c>
      <c r="C20" s="77">
        <v>13.5</v>
      </c>
    </row>
    <row r="21" spans="1:3" x14ac:dyDescent="0.25">
      <c r="A21" s="78" t="s">
        <v>37</v>
      </c>
      <c r="B21">
        <v>4</v>
      </c>
      <c r="C21" s="77">
        <v>27.92</v>
      </c>
    </row>
    <row r="22" spans="1:3" x14ac:dyDescent="0.25">
      <c r="A22" s="76">
        <v>45176</v>
      </c>
      <c r="B22">
        <v>58</v>
      </c>
      <c r="C22" s="77">
        <v>1044.27</v>
      </c>
    </row>
    <row r="23" spans="1:3" x14ac:dyDescent="0.25">
      <c r="A23" s="78" t="s">
        <v>35</v>
      </c>
      <c r="B23">
        <v>3</v>
      </c>
      <c r="C23" s="77">
        <v>8.9700000000000006</v>
      </c>
    </row>
    <row r="24" spans="1:3" x14ac:dyDescent="0.25">
      <c r="A24" s="78" t="s">
        <v>44</v>
      </c>
      <c r="B24">
        <v>2</v>
      </c>
      <c r="C24" s="77">
        <v>15.100000000000001</v>
      </c>
    </row>
    <row r="25" spans="1:3" x14ac:dyDescent="0.25">
      <c r="A25" s="78" t="s">
        <v>58</v>
      </c>
      <c r="B25">
        <v>23</v>
      </c>
      <c r="C25" s="77">
        <v>168.05</v>
      </c>
    </row>
    <row r="26" spans="1:3" x14ac:dyDescent="0.25">
      <c r="A26" s="78" t="s">
        <v>40</v>
      </c>
      <c r="B26">
        <v>30</v>
      </c>
      <c r="C26" s="77">
        <v>852.15</v>
      </c>
    </row>
    <row r="27" spans="1:3" x14ac:dyDescent="0.25">
      <c r="A27" s="76">
        <v>45177</v>
      </c>
      <c r="B27">
        <v>165</v>
      </c>
      <c r="C27" s="77">
        <v>1055.82</v>
      </c>
    </row>
    <row r="28" spans="1:3" x14ac:dyDescent="0.25">
      <c r="A28" s="78" t="s">
        <v>36</v>
      </c>
      <c r="B28">
        <v>15</v>
      </c>
      <c r="C28" s="77">
        <v>245.5</v>
      </c>
    </row>
    <row r="29" spans="1:3" x14ac:dyDescent="0.25">
      <c r="A29" s="78" t="s">
        <v>45</v>
      </c>
      <c r="B29">
        <v>100</v>
      </c>
      <c r="C29" s="77">
        <v>208.04999999999998</v>
      </c>
    </row>
    <row r="30" spans="1:3" x14ac:dyDescent="0.25">
      <c r="A30" s="78" t="s">
        <v>57</v>
      </c>
      <c r="B30">
        <v>15</v>
      </c>
      <c r="C30" s="77">
        <v>74.850000000000009</v>
      </c>
    </row>
    <row r="31" spans="1:3" x14ac:dyDescent="0.25">
      <c r="A31" s="78" t="s">
        <v>72</v>
      </c>
      <c r="B31">
        <v>12</v>
      </c>
      <c r="C31" s="77">
        <v>28.68</v>
      </c>
    </row>
    <row r="32" spans="1:3" x14ac:dyDescent="0.25">
      <c r="A32" s="78" t="s">
        <v>34</v>
      </c>
      <c r="B32">
        <v>12</v>
      </c>
      <c r="C32" s="77">
        <v>69.84</v>
      </c>
    </row>
    <row r="33" spans="1:3" x14ac:dyDescent="0.25">
      <c r="A33" s="78" t="s">
        <v>40</v>
      </c>
      <c r="B33">
        <v>7</v>
      </c>
      <c r="C33" s="77">
        <v>209.29999999999998</v>
      </c>
    </row>
    <row r="34" spans="1:3" x14ac:dyDescent="0.25">
      <c r="A34" s="78" t="s">
        <v>46</v>
      </c>
      <c r="B34">
        <v>4</v>
      </c>
      <c r="C34" s="77">
        <v>219.6</v>
      </c>
    </row>
    <row r="35" spans="1:3" x14ac:dyDescent="0.25">
      <c r="A35" s="76">
        <v>45178</v>
      </c>
      <c r="B35">
        <v>30</v>
      </c>
      <c r="C35" s="77">
        <v>91.04</v>
      </c>
    </row>
    <row r="36" spans="1:3" x14ac:dyDescent="0.25">
      <c r="A36" s="78" t="s">
        <v>44</v>
      </c>
      <c r="B36">
        <v>1</v>
      </c>
      <c r="C36" s="77">
        <v>1.1499999999999999</v>
      </c>
    </row>
    <row r="37" spans="1:3" x14ac:dyDescent="0.25">
      <c r="A37" s="78" t="s">
        <v>32</v>
      </c>
      <c r="B37">
        <v>16</v>
      </c>
      <c r="C37" s="77">
        <v>39.840000000000003</v>
      </c>
    </row>
    <row r="38" spans="1:3" x14ac:dyDescent="0.25">
      <c r="A38" s="78" t="s">
        <v>119</v>
      </c>
      <c r="B38">
        <v>1</v>
      </c>
      <c r="C38" s="77">
        <v>6.8</v>
      </c>
    </row>
    <row r="39" spans="1:3" x14ac:dyDescent="0.25">
      <c r="A39" s="78" t="s">
        <v>47</v>
      </c>
      <c r="B39">
        <v>3</v>
      </c>
      <c r="C39" s="77">
        <v>7.8000000000000007</v>
      </c>
    </row>
    <row r="40" spans="1:3" x14ac:dyDescent="0.25">
      <c r="A40" s="78" t="s">
        <v>125</v>
      </c>
      <c r="B40">
        <v>2</v>
      </c>
      <c r="C40" s="77">
        <v>9</v>
      </c>
    </row>
    <row r="41" spans="1:3" x14ac:dyDescent="0.25">
      <c r="A41" s="78" t="s">
        <v>120</v>
      </c>
      <c r="B41">
        <v>2</v>
      </c>
      <c r="C41" s="77">
        <v>9</v>
      </c>
    </row>
    <row r="42" spans="1:3" x14ac:dyDescent="0.25">
      <c r="A42" s="78" t="s">
        <v>66</v>
      </c>
      <c r="B42">
        <v>5</v>
      </c>
      <c r="C42" s="77">
        <v>17.45</v>
      </c>
    </row>
    <row r="43" spans="1:3" x14ac:dyDescent="0.25">
      <c r="A43" s="76" t="s">
        <v>168</v>
      </c>
      <c r="B43">
        <v>358</v>
      </c>
      <c r="C43" s="77">
        <v>2679.5250000000005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ED91A-0ABA-49B9-9D26-1A4C6DD430CB}">
  <sheetPr codeName="Planilha14"/>
  <dimension ref="A2:M570"/>
  <sheetViews>
    <sheetView showGridLines="0" topLeftCell="B552" workbookViewId="0">
      <selection activeCell="M569" sqref="M569"/>
    </sheetView>
  </sheetViews>
  <sheetFormatPr defaultRowHeight="15" x14ac:dyDescent="0.25"/>
  <cols>
    <col min="1" max="1" width="21.7109375" customWidth="1"/>
    <col min="2" max="2" width="14" customWidth="1"/>
    <col min="3" max="3" width="10.42578125" bestFit="1" customWidth="1"/>
    <col min="4" max="4" width="14.5703125" bestFit="1" customWidth="1"/>
    <col min="5" max="5" width="9.85546875" bestFit="1" customWidth="1"/>
    <col min="6" max="6" width="13.7109375" bestFit="1" customWidth="1"/>
    <col min="7" max="7" width="16.140625" bestFit="1" customWidth="1"/>
    <col min="8" max="8" width="13.28515625" bestFit="1" customWidth="1"/>
    <col min="9" max="9" width="12" bestFit="1" customWidth="1"/>
    <col min="10" max="10" width="19.7109375" bestFit="1" customWidth="1"/>
    <col min="11" max="11" width="18" bestFit="1" customWidth="1"/>
    <col min="12" max="12" width="13.28515625" bestFit="1" customWidth="1"/>
    <col min="13" max="13" width="19.28515625" bestFit="1" customWidth="1"/>
  </cols>
  <sheetData>
    <row r="2" spans="1:13" s="33" customFormat="1" ht="24.95" customHeight="1" x14ac:dyDescent="0.25">
      <c r="A2" s="25"/>
      <c r="B2" s="24" t="s">
        <v>117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</row>
    <row r="4" spans="1:13" x14ac:dyDescent="0.25">
      <c r="B4" t="s">
        <v>101</v>
      </c>
      <c r="C4" t="s">
        <v>13</v>
      </c>
      <c r="D4" t="s">
        <v>93</v>
      </c>
      <c r="E4" t="s">
        <v>51</v>
      </c>
      <c r="F4" t="s">
        <v>52</v>
      </c>
      <c r="G4" t="s">
        <v>53</v>
      </c>
      <c r="H4" t="s">
        <v>102</v>
      </c>
      <c r="I4" t="s">
        <v>54</v>
      </c>
      <c r="J4" t="s">
        <v>103</v>
      </c>
      <c r="K4" t="s">
        <v>104</v>
      </c>
      <c r="L4" t="s">
        <v>105</v>
      </c>
      <c r="M4" t="s">
        <v>106</v>
      </c>
    </row>
    <row r="5" spans="1:13" x14ac:dyDescent="0.25">
      <c r="B5">
        <v>33</v>
      </c>
      <c r="C5" s="7">
        <v>45187</v>
      </c>
      <c r="D5" t="s">
        <v>32</v>
      </c>
      <c r="E5" t="str">
        <f>IFERROR(VLOOKUP(VendasSem4[[#This Row],[Produto]],cálculos!$I$3:$L$50,4,0),"")</f>
        <v>Kg</v>
      </c>
      <c r="F5">
        <v>10</v>
      </c>
      <c r="G5" s="6">
        <f>IFERROR(VLOOKUP(VendasSem4[[#This Row],[Produto]],cálculos!$I$3:$L$50,3,0),0)</f>
        <v>2.4900000000000002</v>
      </c>
      <c r="H5" s="6">
        <f>IFERROR(VendasSem4[[#This Row],[Quantidade]]*VendasSem4[[#This Row],[Preço Unitário]],0)</f>
        <v>24.900000000000002</v>
      </c>
      <c r="I5" s="11"/>
      <c r="J5" t="s">
        <v>109</v>
      </c>
      <c r="K5" s="6">
        <f>IFERROR(IF(VendasSem4[[#This Row],[Id da Venda]]=B6,0,VLOOKUP(VendasSem4[[#This Row],[Região de Entrega]],cálculos!$B$5:$C$9,2,0)),0)</f>
        <v>0</v>
      </c>
      <c r="L5" s="6">
        <f>(VendasSem4[[#This Row],[Subtotal]]*(1-VendasSem4[[#This Row],[Desconto]])+VendasSem4[[#This Row],[Valor de Entrega]])</f>
        <v>24.900000000000002</v>
      </c>
      <c r="M5" s="6" t="str">
        <f>IF(VendasSem4[[#This Row],[Id da Venda]]=B6,"",SUMIF(VendasSem4[Id da Venda],VendasSem4[[#This Row],[Id da Venda]],VendasSem4[Total]))</f>
        <v/>
      </c>
    </row>
    <row r="6" spans="1:13" x14ac:dyDescent="0.25">
      <c r="B6">
        <v>33</v>
      </c>
      <c r="C6" s="7">
        <v>45187</v>
      </c>
      <c r="D6" t="s">
        <v>33</v>
      </c>
      <c r="E6" t="str">
        <f>IFERROR(VLOOKUP(VendasSem4[[#This Row],[Produto]],cálculos!$I$3:$L$50,4,0),"")</f>
        <v>Kg</v>
      </c>
      <c r="F6">
        <v>6</v>
      </c>
      <c r="G6" s="6">
        <f>IFERROR(VLOOKUP(VendasSem4[[#This Row],[Produto]],cálculos!$I$3:$L$50,3,0),0)</f>
        <v>4.28</v>
      </c>
      <c r="H6" s="6">
        <f>IFERROR(VendasSem4[[#This Row],[Quantidade]]*VendasSem4[[#This Row],[Preço Unitário]],0)</f>
        <v>25.68</v>
      </c>
      <c r="I6" s="11"/>
      <c r="J6" t="s">
        <v>109</v>
      </c>
      <c r="K6" s="6">
        <f>IFERROR(IF(VendasSem4[[#This Row],[Id da Venda]]=B7,0,VLOOKUP(VendasSem4[[#This Row],[Região de Entrega]],cálculos!$B$5:$C$9,2,0)),0)</f>
        <v>0</v>
      </c>
      <c r="L6" s="6">
        <f>(VendasSem4[[#This Row],[Subtotal]]*(1-VendasSem4[[#This Row],[Desconto]])+VendasSem4[[#This Row],[Valor de Entrega]])</f>
        <v>25.68</v>
      </c>
      <c r="M6" s="6" t="str">
        <f>IF(VendasSem4[[#This Row],[Id da Venda]]=B7,"",SUMIF(VendasSem4[Id da Venda],VendasSem4[[#This Row],[Id da Venda]],VendasSem4[Total]))</f>
        <v/>
      </c>
    </row>
    <row r="7" spans="1:13" x14ac:dyDescent="0.25">
      <c r="B7">
        <v>33</v>
      </c>
      <c r="C7" s="7">
        <v>45187</v>
      </c>
      <c r="D7" t="s">
        <v>42</v>
      </c>
      <c r="E7" t="str">
        <f>IFERROR(VLOOKUP(VendasSem4[[#This Row],[Produto]],cálculos!$I$3:$L$50,4,0),"")</f>
        <v>Kg</v>
      </c>
      <c r="F7">
        <v>3</v>
      </c>
      <c r="G7" s="6">
        <f>IFERROR(VLOOKUP(VendasSem4[[#This Row],[Produto]],cálculos!$I$3:$L$50,3,0),0)</f>
        <v>3.99</v>
      </c>
      <c r="H7" s="6">
        <f>IFERROR(VendasSem4[[#This Row],[Quantidade]]*VendasSem4[[#This Row],[Preço Unitário]],0)</f>
        <v>11.97</v>
      </c>
      <c r="I7" s="11"/>
      <c r="J7" t="s">
        <v>109</v>
      </c>
      <c r="K7" s="6">
        <f>IFERROR(IF(VendasSem4[[#This Row],[Id da Venda]]=B8,0,VLOOKUP(VendasSem4[[#This Row],[Região de Entrega]],cálculos!$B$5:$C$9,2,0)),0)</f>
        <v>0</v>
      </c>
      <c r="L7" s="6">
        <f>(VendasSem4[[#This Row],[Subtotal]]*(1-VendasSem4[[#This Row],[Desconto]])+VendasSem4[[#This Row],[Valor de Entrega]])</f>
        <v>11.97</v>
      </c>
      <c r="M7" s="6" t="str">
        <f>IF(VendasSem4[[#This Row],[Id da Venda]]=B8,"",SUMIF(VendasSem4[Id da Venda],VendasSem4[[#This Row],[Id da Venda]],VendasSem4[Total]))</f>
        <v/>
      </c>
    </row>
    <row r="8" spans="1:13" x14ac:dyDescent="0.25">
      <c r="B8">
        <v>33</v>
      </c>
      <c r="C8" s="7">
        <v>45187</v>
      </c>
      <c r="D8" t="s">
        <v>35</v>
      </c>
      <c r="E8" t="str">
        <f>IFERROR(VLOOKUP(VendasSem4[[#This Row],[Produto]],cálculos!$I$3:$L$50,4,0),"")</f>
        <v>Unidade</v>
      </c>
      <c r="F8">
        <v>2</v>
      </c>
      <c r="G8" s="6">
        <f>IFERROR(VLOOKUP(VendasSem4[[#This Row],[Produto]],cálculos!$I$3:$L$50,3,0),0)</f>
        <v>2.99</v>
      </c>
      <c r="H8" s="6">
        <f>IFERROR(VendasSem4[[#This Row],[Quantidade]]*VendasSem4[[#This Row],[Preço Unitário]],0)</f>
        <v>5.98</v>
      </c>
      <c r="I8" s="11"/>
      <c r="J8" t="s">
        <v>109</v>
      </c>
      <c r="K8" s="6">
        <f>IFERROR(IF(VendasSem4[[#This Row],[Id da Venda]]=B9,0,VLOOKUP(VendasSem4[[#This Row],[Região de Entrega]],cálculos!$B$5:$C$9,2,0)),0)</f>
        <v>0</v>
      </c>
      <c r="L8" s="6">
        <f>(VendasSem4[[#This Row],[Subtotal]]*(1-VendasSem4[[#This Row],[Desconto]])+VendasSem4[[#This Row],[Valor de Entrega]])</f>
        <v>5.98</v>
      </c>
      <c r="M8" s="6" t="str">
        <f>IF(VendasSem4[[#This Row],[Id da Venda]]=B9,"",SUMIF(VendasSem4[Id da Venda],VendasSem4[[#This Row],[Id da Venda]],VendasSem4[Total]))</f>
        <v/>
      </c>
    </row>
    <row r="9" spans="1:13" x14ac:dyDescent="0.25">
      <c r="B9">
        <v>33</v>
      </c>
      <c r="C9" s="7">
        <v>45187</v>
      </c>
      <c r="D9" t="s">
        <v>57</v>
      </c>
      <c r="E9" t="str">
        <f>IFERROR(VLOOKUP(VendasSem4[[#This Row],[Produto]],cálculos!$I$3:$L$50,4,0),"")</f>
        <v>Barra</v>
      </c>
      <c r="F9">
        <v>2</v>
      </c>
      <c r="G9" s="6">
        <f>IFERROR(VLOOKUP(VendasSem4[[#This Row],[Produto]],cálculos!$I$3:$L$50,3,0),0)</f>
        <v>4.99</v>
      </c>
      <c r="H9" s="6">
        <f>IFERROR(VendasSem4[[#This Row],[Quantidade]]*VendasSem4[[#This Row],[Preço Unitário]],0)</f>
        <v>9.98</v>
      </c>
      <c r="I9" s="11"/>
      <c r="J9" t="s">
        <v>109</v>
      </c>
      <c r="K9" s="6">
        <f>IFERROR(IF(VendasSem4[[#This Row],[Id da Venda]]=B10,0,VLOOKUP(VendasSem4[[#This Row],[Região de Entrega]],cálculos!$B$5:$C$9,2,0)),0)</f>
        <v>0</v>
      </c>
      <c r="L9" s="6">
        <f>(VendasSem4[[#This Row],[Subtotal]]*(1-VendasSem4[[#This Row],[Desconto]])+VendasSem4[[#This Row],[Valor de Entrega]])</f>
        <v>9.98</v>
      </c>
      <c r="M9" s="6" t="str">
        <f>IF(VendasSem4[[#This Row],[Id da Venda]]=B10,"",SUMIF(VendasSem4[Id da Venda],VendasSem4[[#This Row],[Id da Venda]],VendasSem4[Total]))</f>
        <v/>
      </c>
    </row>
    <row r="10" spans="1:13" x14ac:dyDescent="0.25">
      <c r="B10">
        <v>33</v>
      </c>
      <c r="C10" s="7">
        <v>45187</v>
      </c>
      <c r="D10" t="s">
        <v>72</v>
      </c>
      <c r="E10" t="str">
        <f>IFERROR(VLOOKUP(VendasSem4[[#This Row],[Produto]],cálculos!$I$3:$L$50,4,0),"")</f>
        <v>Litro</v>
      </c>
      <c r="F10">
        <v>4</v>
      </c>
      <c r="G10" s="6">
        <f>IFERROR(VLOOKUP(VendasSem4[[#This Row],[Produto]],cálculos!$I$3:$L$50,3,0),0)</f>
        <v>2.39</v>
      </c>
      <c r="H10" s="6">
        <f>IFERROR(VendasSem4[[#This Row],[Quantidade]]*VendasSem4[[#This Row],[Preço Unitário]],0)</f>
        <v>9.56</v>
      </c>
      <c r="I10" s="11"/>
      <c r="J10" t="s">
        <v>109</v>
      </c>
      <c r="K10" s="6">
        <f>IFERROR(IF(VendasSem4[[#This Row],[Id da Venda]]=B11,0,VLOOKUP(VendasSem4[[#This Row],[Região de Entrega]],cálculos!$B$5:$C$9,2,0)),0)</f>
        <v>0</v>
      </c>
      <c r="L10" s="6">
        <f>(VendasSem4[[#This Row],[Subtotal]]*(1-VendasSem4[[#This Row],[Desconto]])+VendasSem4[[#This Row],[Valor de Entrega]])</f>
        <v>9.56</v>
      </c>
      <c r="M10" s="6" t="str">
        <f>IF(VendasSem4[[#This Row],[Id da Venda]]=B11,"",SUMIF(VendasSem4[Id da Venda],VendasSem4[[#This Row],[Id da Venda]],VendasSem4[Total]))</f>
        <v/>
      </c>
    </row>
    <row r="11" spans="1:13" x14ac:dyDescent="0.25">
      <c r="B11">
        <v>33</v>
      </c>
      <c r="C11" s="7">
        <v>45187</v>
      </c>
      <c r="D11" t="s">
        <v>66</v>
      </c>
      <c r="E11" t="str">
        <f>IFERROR(VLOOKUP(VendasSem4[[#This Row],[Produto]],cálculos!$I$3:$L$50,4,0),"")</f>
        <v>Litro</v>
      </c>
      <c r="F11">
        <v>5</v>
      </c>
      <c r="G11" s="6">
        <f>IFERROR(VLOOKUP(VendasSem4[[#This Row],[Produto]],cálculos!$I$3:$L$50,3,0),0)</f>
        <v>1.49</v>
      </c>
      <c r="H11" s="6">
        <f>IFERROR(VendasSem4[[#This Row],[Quantidade]]*VendasSem4[[#This Row],[Preço Unitário]],0)</f>
        <v>7.45</v>
      </c>
      <c r="I11" s="11"/>
      <c r="J11" t="s">
        <v>109</v>
      </c>
      <c r="K11" s="6">
        <f>IFERROR(IF(VendasSem4[[#This Row],[Id da Venda]]=B12,0,VLOOKUP(VendasSem4[[#This Row],[Região de Entrega]],cálculos!$B$5:$C$9,2,0)),0)</f>
        <v>0</v>
      </c>
      <c r="L11" s="6">
        <f>(VendasSem4[[#This Row],[Subtotal]]*(1-VendasSem4[[#This Row],[Desconto]])+VendasSem4[[#This Row],[Valor de Entrega]])</f>
        <v>7.45</v>
      </c>
      <c r="M11" s="6" t="str">
        <f>IF(VendasSem4[[#This Row],[Id da Venda]]=B12,"",SUMIF(VendasSem4[Id da Venda],VendasSem4[[#This Row],[Id da Venda]],VendasSem4[Total]))</f>
        <v/>
      </c>
    </row>
    <row r="12" spans="1:13" x14ac:dyDescent="0.25">
      <c r="B12">
        <v>33</v>
      </c>
      <c r="C12" s="7">
        <v>45187</v>
      </c>
      <c r="D12" t="s">
        <v>45</v>
      </c>
      <c r="E12" t="str">
        <f>IFERROR(VLOOKUP(VendasSem4[[#This Row],[Produto]],cálculos!$I$3:$L$50,4,0),"")</f>
        <v>Lata</v>
      </c>
      <c r="F12">
        <v>10</v>
      </c>
      <c r="G12" s="6">
        <f>IFERROR(VLOOKUP(VendasSem4[[#This Row],[Produto]],cálculos!$I$3:$L$50,3,0),0)</f>
        <v>2.19</v>
      </c>
      <c r="H12" s="6">
        <f>IFERROR(VendasSem4[[#This Row],[Quantidade]]*VendasSem4[[#This Row],[Preço Unitário]],0)</f>
        <v>21.9</v>
      </c>
      <c r="I12" s="11"/>
      <c r="J12" t="s">
        <v>109</v>
      </c>
      <c r="K12" s="6">
        <f>IFERROR(IF(VendasSem4[[#This Row],[Id da Venda]]=B13,0,VLOOKUP(VendasSem4[[#This Row],[Região de Entrega]],cálculos!$B$5:$C$9,2,0)),0)</f>
        <v>0</v>
      </c>
      <c r="L12" s="6">
        <f>(VendasSem4[[#This Row],[Subtotal]]*(1-VendasSem4[[#This Row],[Desconto]])+VendasSem4[[#This Row],[Valor de Entrega]])</f>
        <v>21.9</v>
      </c>
      <c r="M12" s="6" t="str">
        <f>IF(VendasSem4[[#This Row],[Id da Venda]]=B13,"",SUMIF(VendasSem4[Id da Venda],VendasSem4[[#This Row],[Id da Venda]],VendasSem4[Total]))</f>
        <v/>
      </c>
    </row>
    <row r="13" spans="1:13" x14ac:dyDescent="0.25">
      <c r="B13">
        <v>33</v>
      </c>
      <c r="C13" s="7">
        <v>45187</v>
      </c>
      <c r="D13" t="s">
        <v>34</v>
      </c>
      <c r="E13" t="str">
        <f>IFERROR(VLOOKUP(VendasSem4[[#This Row],[Produto]],cálculos!$I$3:$L$50,4,0),"")</f>
        <v>Kg</v>
      </c>
      <c r="F13">
        <v>5</v>
      </c>
      <c r="G13" s="6">
        <f>IFERROR(VLOOKUP(VendasSem4[[#This Row],[Produto]],cálculos!$I$3:$L$50,3,0),0)</f>
        <v>5.82</v>
      </c>
      <c r="H13" s="6">
        <f>IFERROR(VendasSem4[[#This Row],[Quantidade]]*VendasSem4[[#This Row],[Preço Unitário]],0)</f>
        <v>29.1</v>
      </c>
      <c r="I13" s="11"/>
      <c r="J13" t="s">
        <v>109</v>
      </c>
      <c r="K13" s="6">
        <f>IFERROR(IF(VendasSem4[[#This Row],[Id da Venda]]=B14,0,VLOOKUP(VendasSem4[[#This Row],[Região de Entrega]],cálculos!$B$5:$C$9,2,0)),0)</f>
        <v>0</v>
      </c>
      <c r="L13" s="6">
        <f>(VendasSem4[[#This Row],[Subtotal]]*(1-VendasSem4[[#This Row],[Desconto]])+VendasSem4[[#This Row],[Valor de Entrega]])</f>
        <v>29.1</v>
      </c>
      <c r="M13" s="6" t="str">
        <f>IF(VendasSem4[[#This Row],[Id da Venda]]=B14,"",SUMIF(VendasSem4[Id da Venda],VendasSem4[[#This Row],[Id da Venda]],VendasSem4[Total]))</f>
        <v/>
      </c>
    </row>
    <row r="14" spans="1:13" x14ac:dyDescent="0.25">
      <c r="B14">
        <v>33</v>
      </c>
      <c r="C14" s="7">
        <v>45187</v>
      </c>
      <c r="D14" t="s">
        <v>43</v>
      </c>
      <c r="E14" t="str">
        <f>IFERROR(VLOOKUP(VendasSem4[[#This Row],[Produto]],cálculos!$I$3:$L$50,4,0),"")</f>
        <v>Kg</v>
      </c>
      <c r="F14">
        <v>2</v>
      </c>
      <c r="G14" s="6">
        <f>IFERROR(VLOOKUP(VendasSem4[[#This Row],[Produto]],cálculos!$I$3:$L$50,3,0),0)</f>
        <v>9.58</v>
      </c>
      <c r="H14" s="6">
        <f>IFERROR(VendasSem4[[#This Row],[Quantidade]]*VendasSem4[[#This Row],[Preço Unitário]],0)</f>
        <v>19.16</v>
      </c>
      <c r="I14" s="11"/>
      <c r="J14" t="s">
        <v>109</v>
      </c>
      <c r="K14" s="6">
        <f>IFERROR(IF(VendasSem4[[#This Row],[Id da Venda]]=B15,0,VLOOKUP(VendasSem4[[#This Row],[Região de Entrega]],cálculos!$B$5:$C$9,2,0)),0)</f>
        <v>0</v>
      </c>
      <c r="L14" s="6">
        <f>(VendasSem4[[#This Row],[Subtotal]]*(1-VendasSem4[[#This Row],[Desconto]])+VendasSem4[[#This Row],[Valor de Entrega]])</f>
        <v>19.16</v>
      </c>
      <c r="M14" s="6" t="str">
        <f>IF(VendasSem4[[#This Row],[Id da Venda]]=B15,"",SUMIF(VendasSem4[Id da Venda],VendasSem4[[#This Row],[Id da Venda]],VendasSem4[Total]))</f>
        <v/>
      </c>
    </row>
    <row r="15" spans="1:13" x14ac:dyDescent="0.25">
      <c r="B15">
        <v>33</v>
      </c>
      <c r="C15" s="7">
        <v>45187</v>
      </c>
      <c r="D15" t="s">
        <v>36</v>
      </c>
      <c r="E15" t="str">
        <f>IFERROR(VLOOKUP(VendasSem4[[#This Row],[Produto]],cálculos!$I$3:$L$50,4,0),"")</f>
        <v>Kg</v>
      </c>
      <c r="F15">
        <v>8</v>
      </c>
      <c r="G15" s="6">
        <f>IFERROR(VLOOKUP(VendasSem4[[#This Row],[Produto]],cálculos!$I$3:$L$50,3,0),0)</f>
        <v>15.9</v>
      </c>
      <c r="H15" s="6">
        <f>IFERROR(VendasSem4[[#This Row],[Quantidade]]*VendasSem4[[#This Row],[Preço Unitário]],0)</f>
        <v>127.2</v>
      </c>
      <c r="I15" s="11"/>
      <c r="J15" t="s">
        <v>109</v>
      </c>
      <c r="K15" s="6">
        <f>IFERROR(IF(VendasSem4[[#This Row],[Id da Venda]]=B16,0,VLOOKUP(VendasSem4[[#This Row],[Região de Entrega]],cálculos!$B$5:$C$9,2,0)),0)</f>
        <v>0</v>
      </c>
      <c r="L15" s="6">
        <f>(VendasSem4[[#This Row],[Subtotal]]*(1-VendasSem4[[#This Row],[Desconto]])+VendasSem4[[#This Row],[Valor de Entrega]])</f>
        <v>127.2</v>
      </c>
      <c r="M15" s="6" t="str">
        <f>IF(VendasSem4[[#This Row],[Id da Venda]]=B16,"",SUMIF(VendasSem4[Id da Venda],VendasSem4[[#This Row],[Id da Venda]],VendasSem4[Total]))</f>
        <v/>
      </c>
    </row>
    <row r="16" spans="1:13" x14ac:dyDescent="0.25">
      <c r="B16">
        <v>33</v>
      </c>
      <c r="C16" s="7">
        <v>45187</v>
      </c>
      <c r="D16" t="s">
        <v>71</v>
      </c>
      <c r="E16" t="str">
        <f>IFERROR(VLOOKUP(VendasSem4[[#This Row],[Produto]],cálculos!$I$3:$L$50,4,0),"")</f>
        <v>Unidade</v>
      </c>
      <c r="F16">
        <v>2</v>
      </c>
      <c r="G16" s="6">
        <f>IFERROR(VLOOKUP(VendasSem4[[#This Row],[Produto]],cálculos!$I$3:$L$50,3,0),0)</f>
        <v>2.89</v>
      </c>
      <c r="H16" s="6">
        <f>IFERROR(VendasSem4[[#This Row],[Quantidade]]*VendasSem4[[#This Row],[Preço Unitário]],0)</f>
        <v>5.78</v>
      </c>
      <c r="I16" s="11"/>
      <c r="J16" t="s">
        <v>109</v>
      </c>
      <c r="K16" s="6">
        <f>IFERROR(IF(VendasSem4[[#This Row],[Id da Venda]]=B17,0,VLOOKUP(VendasSem4[[#This Row],[Região de Entrega]],cálculos!$B$5:$C$9,2,0)),0)</f>
        <v>0</v>
      </c>
      <c r="L16" s="6">
        <f>(VendasSem4[[#This Row],[Subtotal]]*(1-VendasSem4[[#This Row],[Desconto]])+VendasSem4[[#This Row],[Valor de Entrega]])</f>
        <v>5.78</v>
      </c>
      <c r="M16" s="6" t="str">
        <f>IF(VendasSem4[[#This Row],[Id da Venda]]=B17,"",SUMIF(VendasSem4[Id da Venda],VendasSem4[[#This Row],[Id da Venda]],VendasSem4[Total]))</f>
        <v/>
      </c>
    </row>
    <row r="17" spans="2:13" x14ac:dyDescent="0.25">
      <c r="B17">
        <v>33</v>
      </c>
      <c r="C17" s="7">
        <v>45187</v>
      </c>
      <c r="D17" t="s">
        <v>37</v>
      </c>
      <c r="E17" t="str">
        <f>IFERROR(VLOOKUP(VendasSem4[[#This Row],[Produto]],cálculos!$I$3:$L$50,4,0),"")</f>
        <v>Kg</v>
      </c>
      <c r="F17">
        <v>5</v>
      </c>
      <c r="G17" s="6">
        <f>IFERROR(VLOOKUP(VendasSem4[[#This Row],[Produto]],cálculos!$I$3:$L$50,3,0),0)</f>
        <v>6.98</v>
      </c>
      <c r="H17" s="6">
        <f>IFERROR(VendasSem4[[#This Row],[Quantidade]]*VendasSem4[[#This Row],[Preço Unitário]],0)</f>
        <v>34.900000000000006</v>
      </c>
      <c r="I17" s="11"/>
      <c r="J17" t="s">
        <v>109</v>
      </c>
      <c r="K17" s="6">
        <f>IFERROR(IF(VendasSem4[[#This Row],[Id da Venda]]=B18,0,VLOOKUP(VendasSem4[[#This Row],[Região de Entrega]],cálculos!$B$5:$C$9,2,0)),0)</f>
        <v>0</v>
      </c>
      <c r="L17" s="6">
        <f>(VendasSem4[[#This Row],[Subtotal]]*(1-VendasSem4[[#This Row],[Desconto]])+VendasSem4[[#This Row],[Valor de Entrega]])</f>
        <v>34.900000000000006</v>
      </c>
      <c r="M17" s="6" t="str">
        <f>IF(VendasSem4[[#This Row],[Id da Venda]]=B18,"",SUMIF(VendasSem4[Id da Venda],VendasSem4[[#This Row],[Id da Venda]],VendasSem4[Total]))</f>
        <v/>
      </c>
    </row>
    <row r="18" spans="2:13" x14ac:dyDescent="0.25">
      <c r="B18">
        <v>33</v>
      </c>
      <c r="C18" s="7">
        <v>45187</v>
      </c>
      <c r="D18" t="s">
        <v>39</v>
      </c>
      <c r="E18" t="str">
        <f>IFERROR(VLOOKUP(VendasSem4[[#This Row],[Produto]],cálculos!$I$3:$L$50,4,0),"")</f>
        <v>Kg</v>
      </c>
      <c r="F18">
        <v>1</v>
      </c>
      <c r="G18" s="6">
        <f>IFERROR(VLOOKUP(VendasSem4[[#This Row],[Produto]],cálculos!$I$3:$L$50,3,0),0)</f>
        <v>25.9</v>
      </c>
      <c r="H18" s="6">
        <f>IFERROR(VendasSem4[[#This Row],[Quantidade]]*VendasSem4[[#This Row],[Preço Unitário]],0)</f>
        <v>25.9</v>
      </c>
      <c r="I18" s="11"/>
      <c r="J18" t="s">
        <v>109</v>
      </c>
      <c r="K18" s="6">
        <f>IFERROR(IF(VendasSem4[[#This Row],[Id da Venda]]=B19,0,VLOOKUP(VendasSem4[[#This Row],[Região de Entrega]],cálculos!$B$5:$C$9,2,0)),0)</f>
        <v>0</v>
      </c>
      <c r="L18" s="6">
        <f>(VendasSem4[[#This Row],[Subtotal]]*(1-VendasSem4[[#This Row],[Desconto]])+VendasSem4[[#This Row],[Valor de Entrega]])</f>
        <v>25.9</v>
      </c>
      <c r="M18" s="6" t="str">
        <f>IF(VendasSem4[[#This Row],[Id da Venda]]=B19,"",SUMIF(VendasSem4[Id da Venda],VendasSem4[[#This Row],[Id da Venda]],VendasSem4[Total]))</f>
        <v/>
      </c>
    </row>
    <row r="19" spans="2:13" x14ac:dyDescent="0.25">
      <c r="B19">
        <v>33</v>
      </c>
      <c r="C19" s="7">
        <v>45187</v>
      </c>
      <c r="D19" t="s">
        <v>47</v>
      </c>
      <c r="E19" t="str">
        <f>IFERROR(VLOOKUP(VendasSem4[[#This Row],[Produto]],cálculos!$I$3:$L$50,4,0),"")</f>
        <v>Unidade</v>
      </c>
      <c r="F19">
        <v>2</v>
      </c>
      <c r="G19" s="6">
        <f>IFERROR(VLOOKUP(VendasSem4[[#This Row],[Produto]],cálculos!$I$3:$L$50,3,0),0)</f>
        <v>2.6</v>
      </c>
      <c r="H19" s="6">
        <f>IFERROR(VendasSem4[[#This Row],[Quantidade]]*VendasSem4[[#This Row],[Preço Unitário]],0)</f>
        <v>5.2</v>
      </c>
      <c r="I19" s="11"/>
      <c r="J19" t="s">
        <v>109</v>
      </c>
      <c r="K19" s="6">
        <f>IFERROR(IF(VendasSem4[[#This Row],[Id da Venda]]=B20,0,VLOOKUP(VendasSem4[[#This Row],[Região de Entrega]],cálculos!$B$5:$C$9,2,0)),0)</f>
        <v>0</v>
      </c>
      <c r="L19" s="6">
        <f>(VendasSem4[[#This Row],[Subtotal]]*(1-VendasSem4[[#This Row],[Desconto]])+VendasSem4[[#This Row],[Valor de Entrega]])</f>
        <v>5.2</v>
      </c>
      <c r="M19" s="6" t="str">
        <f>IF(VendasSem4[[#This Row],[Id da Venda]]=B20,"",SUMIF(VendasSem4[Id da Venda],VendasSem4[[#This Row],[Id da Venda]],VendasSem4[Total]))</f>
        <v/>
      </c>
    </row>
    <row r="20" spans="2:13" x14ac:dyDescent="0.25">
      <c r="B20">
        <v>33</v>
      </c>
      <c r="C20" s="7">
        <v>45187</v>
      </c>
      <c r="D20" t="s">
        <v>38</v>
      </c>
      <c r="E20" t="str">
        <f>IFERROR(VLOOKUP(VendasSem4[[#This Row],[Produto]],cálculos!$I$3:$L$50,4,0),"")</f>
        <v>Kg</v>
      </c>
      <c r="F20">
        <v>4</v>
      </c>
      <c r="G20" s="6">
        <f>IFERROR(VLOOKUP(VendasSem4[[#This Row],[Produto]],cálculos!$I$3:$L$50,3,0),0)</f>
        <v>23.9</v>
      </c>
      <c r="H20" s="6">
        <f>IFERROR(VendasSem4[[#This Row],[Quantidade]]*VendasSem4[[#This Row],[Preço Unitário]],0)</f>
        <v>95.6</v>
      </c>
      <c r="I20" s="11"/>
      <c r="J20" t="s">
        <v>109</v>
      </c>
      <c r="K20" s="6">
        <f>IFERROR(IF(VendasSem4[[#This Row],[Id da Venda]]=B21,0,VLOOKUP(VendasSem4[[#This Row],[Região de Entrega]],cálculos!$B$5:$C$9,2,0)),0)</f>
        <v>0</v>
      </c>
      <c r="L20" s="6">
        <f>(VendasSem4[[#This Row],[Subtotal]]*(1-VendasSem4[[#This Row],[Desconto]])+VendasSem4[[#This Row],[Valor de Entrega]])</f>
        <v>95.6</v>
      </c>
      <c r="M20" s="6" t="str">
        <f>IF(VendasSem4[[#This Row],[Id da Venda]]=B21,"",SUMIF(VendasSem4[Id da Venda],VendasSem4[[#This Row],[Id da Venda]],VendasSem4[Total]))</f>
        <v/>
      </c>
    </row>
    <row r="21" spans="2:13" x14ac:dyDescent="0.25">
      <c r="B21">
        <v>33</v>
      </c>
      <c r="C21" s="7">
        <v>45187</v>
      </c>
      <c r="D21" t="s">
        <v>56</v>
      </c>
      <c r="E21" t="str">
        <f>IFERROR(VLOOKUP(VendasSem4[[#This Row],[Produto]],cálculos!$I$3:$L$50,4,0),"")</f>
        <v>Pacote</v>
      </c>
      <c r="F21">
        <v>2</v>
      </c>
      <c r="G21" s="6">
        <f>IFERROR(VLOOKUP(VendasSem4[[#This Row],[Produto]],cálculos!$I$3:$L$50,3,0),0)</f>
        <v>1.99</v>
      </c>
      <c r="H21" s="6">
        <f>IFERROR(VendasSem4[[#This Row],[Quantidade]]*VendasSem4[[#This Row],[Preço Unitário]],0)</f>
        <v>3.98</v>
      </c>
      <c r="I21" s="11"/>
      <c r="J21" t="s">
        <v>109</v>
      </c>
      <c r="K21" s="6">
        <f>IFERROR(IF(VendasSem4[[#This Row],[Id da Venda]]=B22,0,VLOOKUP(VendasSem4[[#This Row],[Região de Entrega]],cálculos!$B$5:$C$9,2,0)),0)</f>
        <v>0</v>
      </c>
      <c r="L21" s="6">
        <f>(VendasSem4[[#This Row],[Subtotal]]*(1-VendasSem4[[#This Row],[Desconto]])+VendasSem4[[#This Row],[Valor de Entrega]])</f>
        <v>3.98</v>
      </c>
      <c r="M21" s="6" t="str">
        <f>IF(VendasSem4[[#This Row],[Id da Venda]]=B22,"",SUMIF(VendasSem4[Id da Venda],VendasSem4[[#This Row],[Id da Venda]],VendasSem4[Total]))</f>
        <v/>
      </c>
    </row>
    <row r="22" spans="2:13" x14ac:dyDescent="0.25">
      <c r="B22">
        <v>33</v>
      </c>
      <c r="C22" s="7">
        <v>45187</v>
      </c>
      <c r="D22" t="s">
        <v>44</v>
      </c>
      <c r="E22" t="str">
        <f>IFERROR(VLOOKUP(VendasSem4[[#This Row],[Produto]],cálculos!$I$3:$L$50,4,0),"")</f>
        <v>Pacote</v>
      </c>
      <c r="F22">
        <v>1</v>
      </c>
      <c r="G22" s="6">
        <f>IFERROR(VLOOKUP(VendasSem4[[#This Row],[Produto]],cálculos!$I$3:$L$50,3,0),0)</f>
        <v>1.1499999999999999</v>
      </c>
      <c r="H22" s="6">
        <f>IFERROR(VendasSem4[[#This Row],[Quantidade]]*VendasSem4[[#This Row],[Preço Unitário]],0)</f>
        <v>1.1499999999999999</v>
      </c>
      <c r="I22" s="11"/>
      <c r="J22" t="s">
        <v>109</v>
      </c>
      <c r="K22" s="6">
        <f>IFERROR(IF(VendasSem4[[#This Row],[Id da Venda]]=B23,0,VLOOKUP(VendasSem4[[#This Row],[Região de Entrega]],cálculos!$B$5:$C$9,2,0)),0)</f>
        <v>0</v>
      </c>
      <c r="L22" s="6">
        <f>(VendasSem4[[#This Row],[Subtotal]]*(1-VendasSem4[[#This Row],[Desconto]])+VendasSem4[[#This Row],[Valor de Entrega]])</f>
        <v>1.1499999999999999</v>
      </c>
      <c r="M22" s="6" t="str">
        <f>IF(VendasSem4[[#This Row],[Id da Venda]]=B23,"",SUMIF(VendasSem4[Id da Venda],VendasSem4[[#This Row],[Id da Venda]],VendasSem4[Total]))</f>
        <v/>
      </c>
    </row>
    <row r="23" spans="2:13" x14ac:dyDescent="0.25">
      <c r="B23">
        <v>33</v>
      </c>
      <c r="C23" s="7">
        <v>45187</v>
      </c>
      <c r="D23" t="s">
        <v>59</v>
      </c>
      <c r="E23" t="str">
        <f>IFERROR(VLOOKUP(VendasSem4[[#This Row],[Produto]],cálculos!$I$3:$L$50,4,0),"")</f>
        <v>Pacote</v>
      </c>
      <c r="F23">
        <v>1</v>
      </c>
      <c r="G23" s="6">
        <f>IFERROR(VLOOKUP(VendasSem4[[#This Row],[Produto]],cálculos!$I$3:$L$50,3,0),0)</f>
        <v>1.1499999999999999</v>
      </c>
      <c r="H23" s="6">
        <f>IFERROR(VendasSem4[[#This Row],[Quantidade]]*VendasSem4[[#This Row],[Preço Unitário]],0)</f>
        <v>1.1499999999999999</v>
      </c>
      <c r="I23" s="11"/>
      <c r="J23" t="s">
        <v>109</v>
      </c>
      <c r="K23" s="6">
        <f>IFERROR(IF(VendasSem4[[#This Row],[Id da Venda]]=B24,0,VLOOKUP(VendasSem4[[#This Row],[Região de Entrega]],cálculos!$B$5:$C$9,2,0)),0)</f>
        <v>0</v>
      </c>
      <c r="L23" s="6">
        <f>(VendasSem4[[#This Row],[Subtotal]]*(1-VendasSem4[[#This Row],[Desconto]])+VendasSem4[[#This Row],[Valor de Entrega]])</f>
        <v>1.1499999999999999</v>
      </c>
      <c r="M23" s="6" t="str">
        <f>IF(VendasSem4[[#This Row],[Id da Venda]]=B24,"",SUMIF(VendasSem4[Id da Venda],VendasSem4[[#This Row],[Id da Venda]],VendasSem4[Total]))</f>
        <v/>
      </c>
    </row>
    <row r="24" spans="2:13" x14ac:dyDescent="0.25">
      <c r="B24">
        <v>33</v>
      </c>
      <c r="C24" s="7">
        <v>45187</v>
      </c>
      <c r="D24" t="s">
        <v>122</v>
      </c>
      <c r="E24" t="str">
        <f>IFERROR(VLOOKUP(VendasSem4[[#This Row],[Produto]],cálculos!$I$3:$L$50,4,0),"")</f>
        <v>Kg</v>
      </c>
      <c r="F24">
        <v>4</v>
      </c>
      <c r="G24" s="6">
        <f>IFERROR(VLOOKUP(VendasSem4[[#This Row],[Produto]],cálculos!$I$3:$L$50,3,0),0)</f>
        <v>7</v>
      </c>
      <c r="H24" s="6">
        <f>IFERROR(VendasSem4[[#This Row],[Quantidade]]*VendasSem4[[#This Row],[Preço Unitário]],0)</f>
        <v>28</v>
      </c>
      <c r="I24" s="11"/>
      <c r="J24" t="s">
        <v>109</v>
      </c>
      <c r="K24" s="6">
        <f>IFERROR(IF(VendasSem4[[#This Row],[Id da Venda]]=B25,0,VLOOKUP(VendasSem4[[#This Row],[Região de Entrega]],cálculos!$B$5:$C$9,2,0)),0)</f>
        <v>0</v>
      </c>
      <c r="L24" s="6">
        <f>(VendasSem4[[#This Row],[Subtotal]]*(1-VendasSem4[[#This Row],[Desconto]])+VendasSem4[[#This Row],[Valor de Entrega]])</f>
        <v>28</v>
      </c>
      <c r="M24" s="6" t="str">
        <f>IF(VendasSem4[[#This Row],[Id da Venda]]=B25,"",SUMIF(VendasSem4[Id da Venda],VendasSem4[[#This Row],[Id da Venda]],VendasSem4[Total]))</f>
        <v/>
      </c>
    </row>
    <row r="25" spans="2:13" x14ac:dyDescent="0.25">
      <c r="B25">
        <v>33</v>
      </c>
      <c r="C25" s="7">
        <v>45187</v>
      </c>
      <c r="D25" t="s">
        <v>120</v>
      </c>
      <c r="E25" t="str">
        <f>IFERROR(VLOOKUP(VendasSem4[[#This Row],[Produto]],cálculos!$I$3:$L$50,4,0),"")</f>
        <v>Kg</v>
      </c>
      <c r="F25">
        <v>2</v>
      </c>
      <c r="G25" s="6">
        <f>IFERROR(VLOOKUP(VendasSem4[[#This Row],[Produto]],cálculos!$I$3:$L$50,3,0),0)</f>
        <v>4.5</v>
      </c>
      <c r="H25" s="6">
        <f>IFERROR(VendasSem4[[#This Row],[Quantidade]]*VendasSem4[[#This Row],[Preço Unitário]],0)</f>
        <v>9</v>
      </c>
      <c r="I25" s="11"/>
      <c r="J25" t="s">
        <v>109</v>
      </c>
      <c r="K25" s="6">
        <f>IFERROR(IF(VendasSem4[[#This Row],[Id da Venda]]=B26,0,VLOOKUP(VendasSem4[[#This Row],[Região de Entrega]],cálculos!$B$5:$C$9,2,0)),0)</f>
        <v>0</v>
      </c>
      <c r="L25" s="6">
        <f>(VendasSem4[[#This Row],[Subtotal]]*(1-VendasSem4[[#This Row],[Desconto]])+VendasSem4[[#This Row],[Valor de Entrega]])</f>
        <v>9</v>
      </c>
      <c r="M25" s="6" t="str">
        <f>IF(VendasSem4[[#This Row],[Id da Venda]]=B26,"",SUMIF(VendasSem4[Id da Venda],VendasSem4[[#This Row],[Id da Venda]],VendasSem4[Total]))</f>
        <v/>
      </c>
    </row>
    <row r="26" spans="2:13" x14ac:dyDescent="0.25">
      <c r="B26">
        <v>33</v>
      </c>
      <c r="C26" s="7">
        <v>45187</v>
      </c>
      <c r="D26" t="s">
        <v>119</v>
      </c>
      <c r="E26" t="str">
        <f>IFERROR(VLOOKUP(VendasSem4[[#This Row],[Produto]],cálculos!$I$3:$L$50,4,0),"")</f>
        <v>Kg</v>
      </c>
      <c r="F26">
        <v>1</v>
      </c>
      <c r="G26" s="6">
        <f>IFERROR(VLOOKUP(VendasSem4[[#This Row],[Produto]],cálculos!$I$3:$L$50,3,0),0)</f>
        <v>6.8</v>
      </c>
      <c r="H26" s="6">
        <f>IFERROR(VendasSem4[[#This Row],[Quantidade]]*VendasSem4[[#This Row],[Preço Unitário]],0)</f>
        <v>6.8</v>
      </c>
      <c r="I26" s="11"/>
      <c r="J26" t="s">
        <v>109</v>
      </c>
      <c r="K26" s="6">
        <f>IFERROR(IF(VendasSem4[[#This Row],[Id da Venda]]=B27,0,VLOOKUP(VendasSem4[[#This Row],[Região de Entrega]],cálculos!$B$5:$C$9,2,0)),0)</f>
        <v>0</v>
      </c>
      <c r="L26" s="6">
        <f>(VendasSem4[[#This Row],[Subtotal]]*(1-VendasSem4[[#This Row],[Desconto]])+VendasSem4[[#This Row],[Valor de Entrega]])</f>
        <v>6.8</v>
      </c>
      <c r="M26" s="6">
        <f>IF(VendasSem4[[#This Row],[Id da Venda]]=B27,"",SUMIF(VendasSem4[Id da Venda],VendasSem4[[#This Row],[Id da Venda]],VendasSem4[Total]))</f>
        <v>510.33999999999986</v>
      </c>
    </row>
    <row r="27" spans="2:13" x14ac:dyDescent="0.25">
      <c r="B27">
        <v>34</v>
      </c>
      <c r="C27" s="7">
        <v>45187</v>
      </c>
      <c r="D27" t="s">
        <v>72</v>
      </c>
      <c r="E27" t="str">
        <f>IFERROR(VLOOKUP(VendasSem4[[#This Row],[Produto]],cálculos!$I$3:$L$50,4,0),"")</f>
        <v>Litro</v>
      </c>
      <c r="F27">
        <v>100</v>
      </c>
      <c r="G27" s="6">
        <f>IFERROR(VLOOKUP(VendasSem4[[#This Row],[Produto]],cálculos!$I$3:$L$50,3,0),0)</f>
        <v>2.39</v>
      </c>
      <c r="H27" s="6">
        <f>IFERROR(VendasSem4[[#This Row],[Quantidade]]*VendasSem4[[#This Row],[Preço Unitário]],0)</f>
        <v>239</v>
      </c>
      <c r="I27" s="11"/>
      <c r="J27" t="s">
        <v>110</v>
      </c>
      <c r="K27" s="6">
        <f>IFERROR(IF(VendasSem4[[#This Row],[Id da Venda]]=B28,0,VLOOKUP(VendasSem4[[#This Row],[Região de Entrega]],cálculos!$B$5:$C$9,2,0)),0)</f>
        <v>0</v>
      </c>
      <c r="L27" s="6">
        <f>(VendasSem4[[#This Row],[Subtotal]]*(1-VendasSem4[[#This Row],[Desconto]])+VendasSem4[[#This Row],[Valor de Entrega]])</f>
        <v>239</v>
      </c>
      <c r="M27" s="6" t="str">
        <f>IF(VendasSem4[[#This Row],[Id da Venda]]=B28,"",SUMIF(VendasSem4[Id da Venda],VendasSem4[[#This Row],[Id da Venda]],VendasSem4[Total]))</f>
        <v/>
      </c>
    </row>
    <row r="28" spans="2:13" x14ac:dyDescent="0.25">
      <c r="B28">
        <v>34</v>
      </c>
      <c r="C28" s="7">
        <v>45187</v>
      </c>
      <c r="D28" t="s">
        <v>41</v>
      </c>
      <c r="E28" t="str">
        <f>IFERROR(VLOOKUP(VendasSem4[[#This Row],[Produto]],cálculos!$I$3:$L$50,4,0),"")</f>
        <v>Litro</v>
      </c>
      <c r="F28">
        <v>60</v>
      </c>
      <c r="G28" s="6">
        <f>IFERROR(VLOOKUP(VendasSem4[[#This Row],[Produto]],cálculos!$I$3:$L$50,3,0),0)</f>
        <v>3.45</v>
      </c>
      <c r="H28" s="6">
        <f>IFERROR(VendasSem4[[#This Row],[Quantidade]]*VendasSem4[[#This Row],[Preço Unitário]],0)</f>
        <v>207</v>
      </c>
      <c r="I28" s="11"/>
      <c r="J28" t="s">
        <v>110</v>
      </c>
      <c r="K28" s="6">
        <f>IFERROR(IF(VendasSem4[[#This Row],[Id da Venda]]=B29,0,VLOOKUP(VendasSem4[[#This Row],[Região de Entrega]],cálculos!$B$5:$C$9,2,0)),0)</f>
        <v>0</v>
      </c>
      <c r="L28" s="6">
        <f>(VendasSem4[[#This Row],[Subtotal]]*(1-VendasSem4[[#This Row],[Desconto]])+VendasSem4[[#This Row],[Valor de Entrega]])</f>
        <v>207</v>
      </c>
      <c r="M28" s="6" t="str">
        <f>IF(VendasSem4[[#This Row],[Id da Venda]]=B29,"",SUMIF(VendasSem4[Id da Venda],VendasSem4[[#This Row],[Id da Venda]],VendasSem4[Total]))</f>
        <v/>
      </c>
    </row>
    <row r="29" spans="2:13" x14ac:dyDescent="0.25">
      <c r="B29">
        <v>34</v>
      </c>
      <c r="C29" s="7">
        <v>45187</v>
      </c>
      <c r="D29" t="s">
        <v>40</v>
      </c>
      <c r="E29" t="str">
        <f>IFERROR(VLOOKUP(VendasSem4[[#This Row],[Produto]],cálculos!$I$3:$L$50,4,0),"")</f>
        <v>Garrafa</v>
      </c>
      <c r="F29">
        <v>25</v>
      </c>
      <c r="G29" s="6">
        <f>IFERROR(VLOOKUP(VendasSem4[[#This Row],[Produto]],cálculos!$I$3:$L$50,3,0),0)</f>
        <v>29.9</v>
      </c>
      <c r="H29" s="6">
        <f>IFERROR(VendasSem4[[#This Row],[Quantidade]]*VendasSem4[[#This Row],[Preço Unitário]],0)</f>
        <v>747.5</v>
      </c>
      <c r="I29" s="11"/>
      <c r="J29" t="s">
        <v>110</v>
      </c>
      <c r="K29" s="6">
        <f>IFERROR(IF(VendasSem4[[#This Row],[Id da Venda]]=B30,0,VLOOKUP(VendasSem4[[#This Row],[Região de Entrega]],cálculos!$B$5:$C$9,2,0)),0)</f>
        <v>0</v>
      </c>
      <c r="L29" s="6">
        <f>(VendasSem4[[#This Row],[Subtotal]]*(1-VendasSem4[[#This Row],[Desconto]])+VendasSem4[[#This Row],[Valor de Entrega]])</f>
        <v>747.5</v>
      </c>
      <c r="M29" s="6" t="str">
        <f>IF(VendasSem4[[#This Row],[Id da Venda]]=B30,"",SUMIF(VendasSem4[Id da Venda],VendasSem4[[#This Row],[Id da Venda]],VendasSem4[Total]))</f>
        <v/>
      </c>
    </row>
    <row r="30" spans="2:13" x14ac:dyDescent="0.25">
      <c r="B30">
        <v>34</v>
      </c>
      <c r="C30" s="7">
        <v>45187</v>
      </c>
      <c r="D30" t="s">
        <v>45</v>
      </c>
      <c r="E30" t="str">
        <f>IFERROR(VLOOKUP(VendasSem4[[#This Row],[Produto]],cálculos!$I$3:$L$50,4,0),"")</f>
        <v>Lata</v>
      </c>
      <c r="F30">
        <v>180</v>
      </c>
      <c r="G30" s="6">
        <f>IFERROR(VLOOKUP(VendasSem4[[#This Row],[Produto]],cálculos!$I$3:$L$50,3,0),0)</f>
        <v>2.19</v>
      </c>
      <c r="H30" s="6">
        <f>IFERROR(VendasSem4[[#This Row],[Quantidade]]*VendasSem4[[#This Row],[Preço Unitário]],0)</f>
        <v>394.2</v>
      </c>
      <c r="I30" s="11"/>
      <c r="J30" t="s">
        <v>110</v>
      </c>
      <c r="K30" s="6">
        <f>IFERROR(IF(VendasSem4[[#This Row],[Id da Venda]]=B31,0,VLOOKUP(VendasSem4[[#This Row],[Região de Entrega]],cálculos!$B$5:$C$9,2,0)),0)</f>
        <v>0</v>
      </c>
      <c r="L30" s="6">
        <f>(VendasSem4[[#This Row],[Subtotal]]*(1-VendasSem4[[#This Row],[Desconto]])+VendasSem4[[#This Row],[Valor de Entrega]])</f>
        <v>394.2</v>
      </c>
      <c r="M30" s="6" t="str">
        <f>IF(VendasSem4[[#This Row],[Id da Venda]]=B31,"",SUMIF(VendasSem4[Id da Venda],VendasSem4[[#This Row],[Id da Venda]],VendasSem4[Total]))</f>
        <v/>
      </c>
    </row>
    <row r="31" spans="2:13" x14ac:dyDescent="0.25">
      <c r="B31">
        <v>34</v>
      </c>
      <c r="C31" s="7">
        <v>45187</v>
      </c>
      <c r="D31" t="s">
        <v>46</v>
      </c>
      <c r="E31" t="str">
        <f>IFERROR(VLOOKUP(VendasSem4[[#This Row],[Produto]],cálculos!$I$3:$L$50,4,0),"")</f>
        <v>Garrafa</v>
      </c>
      <c r="F31">
        <v>15</v>
      </c>
      <c r="G31" s="6">
        <f>IFERROR(VLOOKUP(VendasSem4[[#This Row],[Produto]],cálculos!$I$3:$L$50,3,0),0)</f>
        <v>54.9</v>
      </c>
      <c r="H31" s="6">
        <f>IFERROR(VendasSem4[[#This Row],[Quantidade]]*VendasSem4[[#This Row],[Preço Unitário]],0)</f>
        <v>823.5</v>
      </c>
      <c r="I31" s="11"/>
      <c r="J31" t="s">
        <v>110</v>
      </c>
      <c r="K31" s="6">
        <f>IFERROR(IF(VendasSem4[[#This Row],[Id da Venda]]=B32,0,VLOOKUP(VendasSem4[[#This Row],[Região de Entrega]],cálculos!$B$5:$C$9,2,0)),0)</f>
        <v>0</v>
      </c>
      <c r="L31" s="6">
        <f>(VendasSem4[[#This Row],[Subtotal]]*(1-VendasSem4[[#This Row],[Desconto]])+VendasSem4[[#This Row],[Valor de Entrega]])</f>
        <v>823.5</v>
      </c>
      <c r="M31" s="6" t="str">
        <f>IF(VendasSem4[[#This Row],[Id da Venda]]=B32,"",SUMIF(VendasSem4[Id da Venda],VendasSem4[[#This Row],[Id da Venda]],VendasSem4[Total]))</f>
        <v/>
      </c>
    </row>
    <row r="32" spans="2:13" x14ac:dyDescent="0.25">
      <c r="B32">
        <v>34</v>
      </c>
      <c r="C32" s="7">
        <v>45187</v>
      </c>
      <c r="D32" t="s">
        <v>66</v>
      </c>
      <c r="E32" t="str">
        <f>IFERROR(VLOOKUP(VendasSem4[[#This Row],[Produto]],cálculos!$I$3:$L$50,4,0),"")</f>
        <v>Litro</v>
      </c>
      <c r="F32">
        <v>25</v>
      </c>
      <c r="G32" s="6">
        <f>IFERROR(VLOOKUP(VendasSem4[[#This Row],[Produto]],cálculos!$I$3:$L$50,3,0),0)</f>
        <v>1.49</v>
      </c>
      <c r="H32" s="6">
        <f>IFERROR(VendasSem4[[#This Row],[Quantidade]]*VendasSem4[[#This Row],[Preço Unitário]],0)</f>
        <v>37.25</v>
      </c>
      <c r="I32" s="11"/>
      <c r="J32" t="s">
        <v>110</v>
      </c>
      <c r="K32" s="6">
        <f>IFERROR(IF(VendasSem4[[#This Row],[Id da Venda]]=B33,0,VLOOKUP(VendasSem4[[#This Row],[Região de Entrega]],cálculos!$B$5:$C$9,2,0)),0)</f>
        <v>12.8</v>
      </c>
      <c r="L32" s="6">
        <f>(VendasSem4[[#This Row],[Subtotal]]*(1-VendasSem4[[#This Row],[Desconto]])+VendasSem4[[#This Row],[Valor de Entrega]])</f>
        <v>50.05</v>
      </c>
      <c r="M32" s="6">
        <f>IF(VendasSem4[[#This Row],[Id da Venda]]=B33,"",SUMIF(VendasSem4[Id da Venda],VendasSem4[[#This Row],[Id da Venda]],VendasSem4[Total]))</f>
        <v>2461.25</v>
      </c>
    </row>
    <row r="33" spans="2:13" x14ac:dyDescent="0.25">
      <c r="B33">
        <v>35</v>
      </c>
      <c r="C33" s="7">
        <v>45187</v>
      </c>
      <c r="D33" t="s">
        <v>35</v>
      </c>
      <c r="E33" t="str">
        <f>IFERROR(VLOOKUP(VendasSem4[[#This Row],[Produto]],cálculos!$I$3:$L$50,4,0),"")</f>
        <v>Unidade</v>
      </c>
      <c r="F33">
        <v>2</v>
      </c>
      <c r="G33" s="6">
        <f>IFERROR(VLOOKUP(VendasSem4[[#This Row],[Produto]],cálculos!$I$3:$L$50,3,0),0)</f>
        <v>2.99</v>
      </c>
      <c r="H33" s="6">
        <f>IFERROR(VendasSem4[[#This Row],[Quantidade]]*VendasSem4[[#This Row],[Preço Unitário]],0)</f>
        <v>5.98</v>
      </c>
      <c r="I33" s="11"/>
      <c r="J33" t="s">
        <v>108</v>
      </c>
      <c r="K33" s="6">
        <f>IFERROR(IF(VendasSem4[[#This Row],[Id da Venda]]=B34,0,VLOOKUP(VendasSem4[[#This Row],[Região de Entrega]],cálculos!$B$5:$C$9,2,0)),0)</f>
        <v>0</v>
      </c>
      <c r="L33" s="6">
        <f>(VendasSem4[[#This Row],[Subtotal]]*(1-VendasSem4[[#This Row],[Desconto]])+VendasSem4[[#This Row],[Valor de Entrega]])</f>
        <v>5.98</v>
      </c>
      <c r="M33" s="6" t="str">
        <f>IF(VendasSem4[[#This Row],[Id da Venda]]=B34,"",SUMIF(VendasSem4[Id da Venda],VendasSem4[[#This Row],[Id da Venda]],VendasSem4[Total]))</f>
        <v/>
      </c>
    </row>
    <row r="34" spans="2:13" x14ac:dyDescent="0.25">
      <c r="B34">
        <v>35</v>
      </c>
      <c r="C34" s="7">
        <v>45187</v>
      </c>
      <c r="D34" t="s">
        <v>121</v>
      </c>
      <c r="E34" t="str">
        <f>IFERROR(VLOOKUP(VendasSem4[[#This Row],[Produto]],cálculos!$I$3:$L$50,4,0),"")</f>
        <v>Kg</v>
      </c>
      <c r="F34">
        <v>3</v>
      </c>
      <c r="G34" s="6">
        <f>IFERROR(VLOOKUP(VendasSem4[[#This Row],[Produto]],cálculos!$I$3:$L$50,3,0),0)</f>
        <v>12</v>
      </c>
      <c r="H34" s="6">
        <f>IFERROR(VendasSem4[[#This Row],[Quantidade]]*VendasSem4[[#This Row],[Preço Unitário]],0)</f>
        <v>36</v>
      </c>
      <c r="I34" s="11"/>
      <c r="J34" t="s">
        <v>108</v>
      </c>
      <c r="K34" s="6">
        <f>IFERROR(IF(VendasSem4[[#This Row],[Id da Venda]]=B35,0,VLOOKUP(VendasSem4[[#This Row],[Região de Entrega]],cálculos!$B$5:$C$9,2,0)),0)</f>
        <v>0</v>
      </c>
      <c r="L34" s="6">
        <f>(VendasSem4[[#This Row],[Subtotal]]*(1-VendasSem4[[#This Row],[Desconto]])+VendasSem4[[#This Row],[Valor de Entrega]])</f>
        <v>36</v>
      </c>
      <c r="M34" s="6" t="str">
        <f>IF(VendasSem4[[#This Row],[Id da Venda]]=B35,"",SUMIF(VendasSem4[Id da Venda],VendasSem4[[#This Row],[Id da Venda]],VendasSem4[Total]))</f>
        <v/>
      </c>
    </row>
    <row r="35" spans="2:13" x14ac:dyDescent="0.25">
      <c r="B35">
        <v>35</v>
      </c>
      <c r="C35" s="7">
        <v>45187</v>
      </c>
      <c r="D35" t="s">
        <v>126</v>
      </c>
      <c r="E35" t="str">
        <f>IFERROR(VLOOKUP(VendasSem4[[#This Row],[Produto]],cálculos!$I$3:$L$50,4,0),"")</f>
        <v>Unidade</v>
      </c>
      <c r="F35">
        <v>1</v>
      </c>
      <c r="G35" s="6">
        <f>IFERROR(VLOOKUP(VendasSem4[[#This Row],[Produto]],cálculos!$I$3:$L$50,3,0),0)</f>
        <v>7</v>
      </c>
      <c r="H35" s="6">
        <f>IFERROR(VendasSem4[[#This Row],[Quantidade]]*VendasSem4[[#This Row],[Preço Unitário]],0)</f>
        <v>7</v>
      </c>
      <c r="I35" s="11"/>
      <c r="J35" t="s">
        <v>108</v>
      </c>
      <c r="K35" s="6">
        <f>IFERROR(IF(VendasSem4[[#This Row],[Id da Venda]]=B36,0,VLOOKUP(VendasSem4[[#This Row],[Região de Entrega]],cálculos!$B$5:$C$9,2,0)),0)</f>
        <v>10</v>
      </c>
      <c r="L35" s="6">
        <f>(VendasSem4[[#This Row],[Subtotal]]*(1-VendasSem4[[#This Row],[Desconto]])+VendasSem4[[#This Row],[Valor de Entrega]])</f>
        <v>17</v>
      </c>
      <c r="M35" s="6">
        <f>IF(VendasSem4[[#This Row],[Id da Venda]]=B36,"",SUMIF(VendasSem4[Id da Venda],VendasSem4[[#This Row],[Id da Venda]],VendasSem4[Total]))</f>
        <v>58.980000000000004</v>
      </c>
    </row>
    <row r="36" spans="2:13" x14ac:dyDescent="0.25">
      <c r="B36">
        <v>36</v>
      </c>
      <c r="C36" s="7">
        <v>45188</v>
      </c>
      <c r="D36" t="s">
        <v>42</v>
      </c>
      <c r="E36" t="str">
        <f>IFERROR(VLOOKUP(VendasSem4[[#This Row],[Produto]],cálculos!$I$3:$L$50,4,0),"")</f>
        <v>Kg</v>
      </c>
      <c r="F36">
        <v>3</v>
      </c>
      <c r="G36" s="6">
        <f>IFERROR(VLOOKUP(VendasSem4[[#This Row],[Produto]],cálculos!$I$3:$L$50,3,0),0)</f>
        <v>3.99</v>
      </c>
      <c r="H36" s="6">
        <f>IFERROR(VendasSem4[[#This Row],[Quantidade]]*VendasSem4[[#This Row],[Preço Unitário]],0)</f>
        <v>11.97</v>
      </c>
      <c r="I36" s="11"/>
      <c r="J36" t="s">
        <v>112</v>
      </c>
      <c r="K36" s="6">
        <f>IFERROR(IF(VendasSem4[[#This Row],[Id da Venda]]=B37,0,VLOOKUP(VendasSem4[[#This Row],[Região de Entrega]],cálculos!$B$5:$C$9,2,0)),0)</f>
        <v>0</v>
      </c>
      <c r="L36" s="6">
        <f>(VendasSem4[[#This Row],[Subtotal]]*(1-VendasSem4[[#This Row],[Desconto]])+VendasSem4[[#This Row],[Valor de Entrega]])</f>
        <v>11.97</v>
      </c>
      <c r="M36" s="6" t="str">
        <f>IF(VendasSem4[[#This Row],[Id da Venda]]=B37,"",SUMIF(VendasSem4[Id da Venda],VendasSem4[[#This Row],[Id da Venda]],VendasSem4[Total]))</f>
        <v/>
      </c>
    </row>
    <row r="37" spans="2:13" x14ac:dyDescent="0.25">
      <c r="B37">
        <v>36</v>
      </c>
      <c r="C37" s="7">
        <v>45188</v>
      </c>
      <c r="D37" t="s">
        <v>35</v>
      </c>
      <c r="E37" t="str">
        <f>IFERROR(VLOOKUP(VendasSem4[[#This Row],[Produto]],cálculos!$I$3:$L$50,4,0),"")</f>
        <v>Unidade</v>
      </c>
      <c r="F37">
        <v>2</v>
      </c>
      <c r="G37" s="6">
        <f>IFERROR(VLOOKUP(VendasSem4[[#This Row],[Produto]],cálculos!$I$3:$L$50,3,0),0)</f>
        <v>2.99</v>
      </c>
      <c r="H37" s="6">
        <f>IFERROR(VendasSem4[[#This Row],[Quantidade]]*VendasSem4[[#This Row],[Preço Unitário]],0)</f>
        <v>5.98</v>
      </c>
      <c r="I37" s="11"/>
      <c r="J37" t="s">
        <v>112</v>
      </c>
      <c r="K37" s="6">
        <f>IFERROR(IF(VendasSem4[[#This Row],[Id da Venda]]=B38,0,VLOOKUP(VendasSem4[[#This Row],[Região de Entrega]],cálculos!$B$5:$C$9,2,0)),0)</f>
        <v>0</v>
      </c>
      <c r="L37" s="6">
        <f>(VendasSem4[[#This Row],[Subtotal]]*(1-VendasSem4[[#This Row],[Desconto]])+VendasSem4[[#This Row],[Valor de Entrega]])</f>
        <v>5.98</v>
      </c>
      <c r="M37" s="6" t="str">
        <f>IF(VendasSem4[[#This Row],[Id da Venda]]=B38,"",SUMIF(VendasSem4[Id da Venda],VendasSem4[[#This Row],[Id da Venda]],VendasSem4[Total]))</f>
        <v/>
      </c>
    </row>
    <row r="38" spans="2:13" x14ac:dyDescent="0.25">
      <c r="B38">
        <v>36</v>
      </c>
      <c r="C38" s="7">
        <v>45188</v>
      </c>
      <c r="D38" t="s">
        <v>132</v>
      </c>
      <c r="E38" t="str">
        <f>IFERROR(VLOOKUP(VendasSem4[[#This Row],[Produto]],cálculos!$I$3:$L$50,4,0),"")</f>
        <v>Kg</v>
      </c>
      <c r="F38">
        <v>3</v>
      </c>
      <c r="G38" s="6">
        <f>IFERROR(VLOOKUP(VendasSem4[[#This Row],[Produto]],cálculos!$I$3:$L$50,3,0),0)</f>
        <v>2.9</v>
      </c>
      <c r="H38" s="6">
        <f>IFERROR(VendasSem4[[#This Row],[Quantidade]]*VendasSem4[[#This Row],[Preço Unitário]],0)</f>
        <v>8.6999999999999993</v>
      </c>
      <c r="I38" s="11"/>
      <c r="J38" t="s">
        <v>112</v>
      </c>
      <c r="K38" s="6">
        <f>IFERROR(IF(VendasSem4[[#This Row],[Id da Venda]]=B39,0,VLOOKUP(VendasSem4[[#This Row],[Região de Entrega]],cálculos!$B$5:$C$9,2,0)),0)</f>
        <v>0</v>
      </c>
      <c r="L38" s="6">
        <f>(VendasSem4[[#This Row],[Subtotal]]*(1-VendasSem4[[#This Row],[Desconto]])+VendasSem4[[#This Row],[Valor de Entrega]])</f>
        <v>8.6999999999999993</v>
      </c>
      <c r="M38" s="6" t="str">
        <f>IF(VendasSem4[[#This Row],[Id da Venda]]=B39,"",SUMIF(VendasSem4[Id da Venda],VendasSem4[[#This Row],[Id da Venda]],VendasSem4[Total]))</f>
        <v/>
      </c>
    </row>
    <row r="39" spans="2:13" x14ac:dyDescent="0.25">
      <c r="B39">
        <v>36</v>
      </c>
      <c r="C39" s="7">
        <v>45188</v>
      </c>
      <c r="D39" t="s">
        <v>34</v>
      </c>
      <c r="E39" t="str">
        <f>IFERROR(VLOOKUP(VendasSem4[[#This Row],[Produto]],cálculos!$I$3:$L$50,4,0),"")</f>
        <v>Kg</v>
      </c>
      <c r="F39">
        <v>7</v>
      </c>
      <c r="G39" s="6">
        <f>IFERROR(VLOOKUP(VendasSem4[[#This Row],[Produto]],cálculos!$I$3:$L$50,3,0),0)</f>
        <v>5.82</v>
      </c>
      <c r="H39" s="6">
        <f>IFERROR(VendasSem4[[#This Row],[Quantidade]]*VendasSem4[[#This Row],[Preço Unitário]],0)</f>
        <v>40.74</v>
      </c>
      <c r="I39" s="11"/>
      <c r="J39" t="s">
        <v>112</v>
      </c>
      <c r="K39" s="6">
        <f>IFERROR(IF(VendasSem4[[#This Row],[Id da Venda]]=B40,0,VLOOKUP(VendasSem4[[#This Row],[Região de Entrega]],cálculos!$B$5:$C$9,2,0)),0)</f>
        <v>0</v>
      </c>
      <c r="L39" s="6">
        <f>(VendasSem4[[#This Row],[Subtotal]]*(1-VendasSem4[[#This Row],[Desconto]])+VendasSem4[[#This Row],[Valor de Entrega]])</f>
        <v>40.74</v>
      </c>
      <c r="M39" s="6" t="str">
        <f>IF(VendasSem4[[#This Row],[Id da Venda]]=B40,"",SUMIF(VendasSem4[Id da Venda],VendasSem4[[#This Row],[Id da Venda]],VendasSem4[Total]))</f>
        <v/>
      </c>
    </row>
    <row r="40" spans="2:13" x14ac:dyDescent="0.25">
      <c r="B40">
        <v>36</v>
      </c>
      <c r="C40" s="7">
        <v>45188</v>
      </c>
      <c r="D40" t="s">
        <v>137</v>
      </c>
      <c r="E40" t="str">
        <f>IFERROR(VLOOKUP(VendasSem4[[#This Row],[Produto]],cálculos!$I$3:$L$50,4,0),"")</f>
        <v>Kg</v>
      </c>
      <c r="F40">
        <v>2</v>
      </c>
      <c r="G40" s="6">
        <f>IFERROR(VLOOKUP(VendasSem4[[#This Row],[Produto]],cálculos!$I$3:$L$50,3,0),0)</f>
        <v>7</v>
      </c>
      <c r="H40" s="6">
        <f>IFERROR(VendasSem4[[#This Row],[Quantidade]]*VendasSem4[[#This Row],[Preço Unitário]],0)</f>
        <v>14</v>
      </c>
      <c r="I40" s="11"/>
      <c r="J40" t="s">
        <v>112</v>
      </c>
      <c r="K40" s="6">
        <f>IFERROR(IF(VendasSem4[[#This Row],[Id da Venda]]=B41,0,VLOOKUP(VendasSem4[[#This Row],[Região de Entrega]],cálculos!$B$5:$C$9,2,0)),0)</f>
        <v>0</v>
      </c>
      <c r="L40" s="6">
        <f>(VendasSem4[[#This Row],[Subtotal]]*(1-VendasSem4[[#This Row],[Desconto]])+VendasSem4[[#This Row],[Valor de Entrega]])</f>
        <v>14</v>
      </c>
      <c r="M40" s="6" t="str">
        <f>IF(VendasSem4[[#This Row],[Id da Venda]]=B41,"",SUMIF(VendasSem4[Id da Venda],VendasSem4[[#This Row],[Id da Venda]],VendasSem4[Total]))</f>
        <v/>
      </c>
    </row>
    <row r="41" spans="2:13" x14ac:dyDescent="0.25">
      <c r="B41">
        <v>36</v>
      </c>
      <c r="C41" s="7">
        <v>45188</v>
      </c>
      <c r="D41" t="s">
        <v>135</v>
      </c>
      <c r="E41" t="str">
        <f>IFERROR(VLOOKUP(VendasSem4[[#This Row],[Produto]],cálculos!$I$3:$L$50,4,0),"")</f>
        <v>Kg</v>
      </c>
      <c r="F41">
        <v>1</v>
      </c>
      <c r="G41" s="6">
        <f>IFERROR(VLOOKUP(VendasSem4[[#This Row],[Produto]],cálculos!$I$3:$L$50,3,0),0)</f>
        <v>5</v>
      </c>
      <c r="H41" s="6">
        <f>IFERROR(VendasSem4[[#This Row],[Quantidade]]*VendasSem4[[#This Row],[Preço Unitário]],0)</f>
        <v>5</v>
      </c>
      <c r="I41" s="11"/>
      <c r="J41" t="s">
        <v>112</v>
      </c>
      <c r="K41" s="6">
        <f>IFERROR(IF(VendasSem4[[#This Row],[Id da Venda]]=B42,0,VLOOKUP(VendasSem4[[#This Row],[Região de Entrega]],cálculos!$B$5:$C$9,2,0)),0)</f>
        <v>0</v>
      </c>
      <c r="L41" s="6">
        <f>(VendasSem4[[#This Row],[Subtotal]]*(1-VendasSem4[[#This Row],[Desconto]])+VendasSem4[[#This Row],[Valor de Entrega]])</f>
        <v>5</v>
      </c>
      <c r="M41" s="6" t="str">
        <f>IF(VendasSem4[[#This Row],[Id da Venda]]=B42,"",SUMIF(VendasSem4[Id da Venda],VendasSem4[[#This Row],[Id da Venda]],VendasSem4[Total]))</f>
        <v/>
      </c>
    </row>
    <row r="42" spans="2:13" x14ac:dyDescent="0.25">
      <c r="B42">
        <v>36</v>
      </c>
      <c r="C42" s="7">
        <v>45188</v>
      </c>
      <c r="D42" t="s">
        <v>32</v>
      </c>
      <c r="E42" t="str">
        <f>IFERROR(VLOOKUP(VendasSem4[[#This Row],[Produto]],cálculos!$I$3:$L$50,4,0),"")</f>
        <v>Kg</v>
      </c>
      <c r="F42">
        <v>10</v>
      </c>
      <c r="G42" s="6">
        <f>IFERROR(VLOOKUP(VendasSem4[[#This Row],[Produto]],cálculos!$I$3:$L$50,3,0),0)</f>
        <v>2.4900000000000002</v>
      </c>
      <c r="H42" s="6">
        <f>IFERROR(VendasSem4[[#This Row],[Quantidade]]*VendasSem4[[#This Row],[Preço Unitário]],0)</f>
        <v>24.900000000000002</v>
      </c>
      <c r="I42" s="11"/>
      <c r="J42" t="s">
        <v>112</v>
      </c>
      <c r="K42" s="6">
        <f>IFERROR(IF(VendasSem4[[#This Row],[Id da Venda]]=B43,0,VLOOKUP(VendasSem4[[#This Row],[Região de Entrega]],cálculos!$B$5:$C$9,2,0)),0)</f>
        <v>0</v>
      </c>
      <c r="L42" s="6">
        <f>(VendasSem4[[#This Row],[Subtotal]]*(1-VendasSem4[[#This Row],[Desconto]])+VendasSem4[[#This Row],[Valor de Entrega]])</f>
        <v>24.900000000000002</v>
      </c>
      <c r="M42" s="6" t="str">
        <f>IF(VendasSem4[[#This Row],[Id da Venda]]=B43,"",SUMIF(VendasSem4[Id da Venda],VendasSem4[[#This Row],[Id da Venda]],VendasSem4[Total]))</f>
        <v/>
      </c>
    </row>
    <row r="43" spans="2:13" x14ac:dyDescent="0.25">
      <c r="B43">
        <v>36</v>
      </c>
      <c r="C43" s="7">
        <v>45188</v>
      </c>
      <c r="D43" t="s">
        <v>33</v>
      </c>
      <c r="E43" t="str">
        <f>IFERROR(VLOOKUP(VendasSem4[[#This Row],[Produto]],cálculos!$I$3:$L$50,4,0),"")</f>
        <v>Kg</v>
      </c>
      <c r="F43">
        <v>4</v>
      </c>
      <c r="G43" s="6">
        <f>IFERROR(VLOOKUP(VendasSem4[[#This Row],[Produto]],cálculos!$I$3:$L$50,3,0),0)</f>
        <v>4.28</v>
      </c>
      <c r="H43" s="6">
        <f>IFERROR(VendasSem4[[#This Row],[Quantidade]]*VendasSem4[[#This Row],[Preço Unitário]],0)</f>
        <v>17.12</v>
      </c>
      <c r="I43" s="11"/>
      <c r="J43" t="s">
        <v>112</v>
      </c>
      <c r="K43" s="6">
        <f>IFERROR(IF(VendasSem4[[#This Row],[Id da Venda]]=B44,0,VLOOKUP(VendasSem4[[#This Row],[Região de Entrega]],cálculos!$B$5:$C$9,2,0)),0)</f>
        <v>0</v>
      </c>
      <c r="L43" s="6">
        <f>(VendasSem4[[#This Row],[Subtotal]]*(1-VendasSem4[[#This Row],[Desconto]])+VendasSem4[[#This Row],[Valor de Entrega]])</f>
        <v>17.12</v>
      </c>
      <c r="M43" s="6" t="str">
        <f>IF(VendasSem4[[#This Row],[Id da Venda]]=B44,"",SUMIF(VendasSem4[Id da Venda],VendasSem4[[#This Row],[Id da Venda]],VendasSem4[Total]))</f>
        <v/>
      </c>
    </row>
    <row r="44" spans="2:13" x14ac:dyDescent="0.25">
      <c r="B44">
        <v>36</v>
      </c>
      <c r="C44" s="7">
        <v>45188</v>
      </c>
      <c r="D44" t="s">
        <v>131</v>
      </c>
      <c r="E44" t="str">
        <f>IFERROR(VLOOKUP(VendasSem4[[#This Row],[Produto]],cálculos!$I$3:$L$50,4,0),"")</f>
        <v>Kg</v>
      </c>
      <c r="F44">
        <v>1</v>
      </c>
      <c r="G44" s="6">
        <f>IFERROR(VLOOKUP(VendasSem4[[#This Row],[Produto]],cálculos!$I$3:$L$50,3,0),0)</f>
        <v>3</v>
      </c>
      <c r="H44" s="6">
        <f>IFERROR(VendasSem4[[#This Row],[Quantidade]]*VendasSem4[[#This Row],[Preço Unitário]],0)</f>
        <v>3</v>
      </c>
      <c r="I44" s="11"/>
      <c r="J44" t="s">
        <v>112</v>
      </c>
      <c r="K44" s="6">
        <f>IFERROR(IF(VendasSem4[[#This Row],[Id da Venda]]=B45,0,VLOOKUP(VendasSem4[[#This Row],[Região de Entrega]],cálculos!$B$5:$C$9,2,0)),0)</f>
        <v>0</v>
      </c>
      <c r="L44" s="6">
        <f>(VendasSem4[[#This Row],[Subtotal]]*(1-VendasSem4[[#This Row],[Desconto]])+VendasSem4[[#This Row],[Valor de Entrega]])</f>
        <v>3</v>
      </c>
      <c r="M44" s="6" t="str">
        <f>IF(VendasSem4[[#This Row],[Id da Venda]]=B45,"",SUMIF(VendasSem4[Id da Venda],VendasSem4[[#This Row],[Id da Venda]],VendasSem4[Total]))</f>
        <v/>
      </c>
    </row>
    <row r="45" spans="2:13" x14ac:dyDescent="0.25">
      <c r="B45">
        <v>36</v>
      </c>
      <c r="C45" s="7">
        <v>45188</v>
      </c>
      <c r="D45" t="s">
        <v>119</v>
      </c>
      <c r="E45" t="str">
        <f>IFERROR(VLOOKUP(VendasSem4[[#This Row],[Produto]],cálculos!$I$3:$L$50,4,0),"")</f>
        <v>Kg</v>
      </c>
      <c r="F45">
        <v>0.5</v>
      </c>
      <c r="G45" s="6">
        <f>IFERROR(VLOOKUP(VendasSem4[[#This Row],[Produto]],cálculos!$I$3:$L$50,3,0),0)</f>
        <v>6.8</v>
      </c>
      <c r="H45" s="6">
        <f>IFERROR(VendasSem4[[#This Row],[Quantidade]]*VendasSem4[[#This Row],[Preço Unitário]],0)</f>
        <v>3.4</v>
      </c>
      <c r="I45" s="11"/>
      <c r="J45" t="s">
        <v>112</v>
      </c>
      <c r="K45" s="6">
        <f>IFERROR(IF(VendasSem4[[#This Row],[Id da Venda]]=B46,0,VLOOKUP(VendasSem4[[#This Row],[Região de Entrega]],cálculos!$B$5:$C$9,2,0)),0)</f>
        <v>0</v>
      </c>
      <c r="L45" s="6">
        <f>(VendasSem4[[#This Row],[Subtotal]]*(1-VendasSem4[[#This Row],[Desconto]])+VendasSem4[[#This Row],[Valor de Entrega]])</f>
        <v>3.4</v>
      </c>
      <c r="M45" s="6" t="str">
        <f>IF(VendasSem4[[#This Row],[Id da Venda]]=B46,"",SUMIF(VendasSem4[Id da Venda],VendasSem4[[#This Row],[Id da Venda]],VendasSem4[Total]))</f>
        <v/>
      </c>
    </row>
    <row r="46" spans="2:13" x14ac:dyDescent="0.25">
      <c r="B46">
        <v>36</v>
      </c>
      <c r="C46" s="7">
        <v>45188</v>
      </c>
      <c r="D46" t="s">
        <v>120</v>
      </c>
      <c r="E46" t="str">
        <f>IFERROR(VLOOKUP(VendasSem4[[#This Row],[Produto]],cálculos!$I$3:$L$50,4,0),"")</f>
        <v>Kg</v>
      </c>
      <c r="F46">
        <v>1</v>
      </c>
      <c r="G46" s="6">
        <f>IFERROR(VLOOKUP(VendasSem4[[#This Row],[Produto]],cálculos!$I$3:$L$50,3,0),0)</f>
        <v>4.5</v>
      </c>
      <c r="H46" s="6">
        <f>IFERROR(VendasSem4[[#This Row],[Quantidade]]*VendasSem4[[#This Row],[Preço Unitário]],0)</f>
        <v>4.5</v>
      </c>
      <c r="I46" s="11"/>
      <c r="J46" t="s">
        <v>112</v>
      </c>
      <c r="K46" s="6">
        <f>IFERROR(IF(VendasSem4[[#This Row],[Id da Venda]]=B47,0,VLOOKUP(VendasSem4[[#This Row],[Região de Entrega]],cálculos!$B$5:$C$9,2,0)),0)</f>
        <v>0</v>
      </c>
      <c r="L46" s="6">
        <f>(VendasSem4[[#This Row],[Subtotal]]*(1-VendasSem4[[#This Row],[Desconto]])+VendasSem4[[#This Row],[Valor de Entrega]])</f>
        <v>4.5</v>
      </c>
      <c r="M46" s="6" t="str">
        <f>IF(VendasSem4[[#This Row],[Id da Venda]]=B47,"",SUMIF(VendasSem4[Id da Venda],VendasSem4[[#This Row],[Id da Venda]],VendasSem4[Total]))</f>
        <v/>
      </c>
    </row>
    <row r="47" spans="2:13" x14ac:dyDescent="0.25">
      <c r="B47">
        <v>36</v>
      </c>
      <c r="C47" s="7">
        <v>45188</v>
      </c>
      <c r="D47" t="s">
        <v>66</v>
      </c>
      <c r="E47" t="str">
        <f>IFERROR(VLOOKUP(VendasSem4[[#This Row],[Produto]],cálculos!$I$3:$L$50,4,0),"")</f>
        <v>Litro</v>
      </c>
      <c r="F47">
        <v>2</v>
      </c>
      <c r="G47" s="6">
        <f>IFERROR(VLOOKUP(VendasSem4[[#This Row],[Produto]],cálculos!$I$3:$L$50,3,0),0)</f>
        <v>1.49</v>
      </c>
      <c r="H47" s="6">
        <f>IFERROR(VendasSem4[[#This Row],[Quantidade]]*VendasSem4[[#This Row],[Preço Unitário]],0)</f>
        <v>2.98</v>
      </c>
      <c r="I47" s="11"/>
      <c r="J47" t="s">
        <v>112</v>
      </c>
      <c r="K47" s="6">
        <f>IFERROR(IF(VendasSem4[[#This Row],[Id da Venda]]=B48,0,VLOOKUP(VendasSem4[[#This Row],[Região de Entrega]],cálculos!$B$5:$C$9,2,0)),0)</f>
        <v>0</v>
      </c>
      <c r="L47" s="6">
        <f>(VendasSem4[[#This Row],[Subtotal]]*(1-VendasSem4[[#This Row],[Desconto]])+VendasSem4[[#This Row],[Valor de Entrega]])</f>
        <v>2.98</v>
      </c>
      <c r="M47" s="6" t="str">
        <f>IF(VendasSem4[[#This Row],[Id da Venda]]=B48,"",SUMIF(VendasSem4[Id da Venda],VendasSem4[[#This Row],[Id da Venda]],VendasSem4[Total]))</f>
        <v/>
      </c>
    </row>
    <row r="48" spans="2:13" x14ac:dyDescent="0.25">
      <c r="B48">
        <v>36</v>
      </c>
      <c r="C48" s="7">
        <v>45188</v>
      </c>
      <c r="D48" t="s">
        <v>136</v>
      </c>
      <c r="E48" t="str">
        <f>IFERROR(VLOOKUP(VendasSem4[[#This Row],[Produto]],cálculos!$I$3:$L$50,4,0),"")</f>
        <v>Unidade</v>
      </c>
      <c r="F48">
        <v>2</v>
      </c>
      <c r="G48" s="6">
        <f>IFERROR(VLOOKUP(VendasSem4[[#This Row],[Produto]],cálculos!$I$3:$L$50,3,0),0)</f>
        <v>10</v>
      </c>
      <c r="H48" s="6">
        <f>IFERROR(VendasSem4[[#This Row],[Quantidade]]*VendasSem4[[#This Row],[Preço Unitário]],0)</f>
        <v>20</v>
      </c>
      <c r="I48" s="11"/>
      <c r="J48" t="s">
        <v>112</v>
      </c>
      <c r="K48" s="6">
        <f>IFERROR(IF(VendasSem4[[#This Row],[Id da Venda]]=B49,0,VLOOKUP(VendasSem4[[#This Row],[Região de Entrega]],cálculos!$B$5:$C$9,2,0)),0)</f>
        <v>7</v>
      </c>
      <c r="L48" s="6">
        <f>(VendasSem4[[#This Row],[Subtotal]]*(1-VendasSem4[[#This Row],[Desconto]])+VendasSem4[[#This Row],[Valor de Entrega]])</f>
        <v>27</v>
      </c>
      <c r="M48" s="6">
        <f>IF(VendasSem4[[#This Row],[Id da Venda]]=B49,"",SUMIF(VendasSem4[Id da Venda],VendasSem4[[#This Row],[Id da Venda]],VendasSem4[Total]))</f>
        <v>169.29</v>
      </c>
    </row>
    <row r="49" spans="2:13" x14ac:dyDescent="0.25">
      <c r="B49">
        <v>37</v>
      </c>
      <c r="C49" s="7">
        <v>45188</v>
      </c>
      <c r="D49" t="s">
        <v>45</v>
      </c>
      <c r="E49" t="str">
        <f>IFERROR(VLOOKUP(VendasSem4[[#This Row],[Produto]],cálculos!$I$3:$L$50,4,0),"")</f>
        <v>Lata</v>
      </c>
      <c r="F49">
        <v>100</v>
      </c>
      <c r="G49" s="6">
        <f>IFERROR(VLOOKUP(VendasSem4[[#This Row],[Produto]],cálculos!$I$3:$L$50,3,0),0)</f>
        <v>2.19</v>
      </c>
      <c r="H49" s="6">
        <f>IFERROR(VendasSem4[[#This Row],[Quantidade]]*VendasSem4[[#This Row],[Preço Unitário]],0)</f>
        <v>219</v>
      </c>
      <c r="I49" s="11"/>
      <c r="J49" t="s">
        <v>109</v>
      </c>
      <c r="K49" s="6">
        <f>IFERROR(IF(VendasSem4[[#This Row],[Id da Venda]]=B50,0,VLOOKUP(VendasSem4[[#This Row],[Região de Entrega]],cálculos!$B$5:$C$9,2,0)),0)</f>
        <v>0</v>
      </c>
      <c r="L49" s="6">
        <f>(VendasSem4[[#This Row],[Subtotal]]*(1-VendasSem4[[#This Row],[Desconto]])+VendasSem4[[#This Row],[Valor de Entrega]])</f>
        <v>219</v>
      </c>
      <c r="M49" s="6" t="str">
        <f>IF(VendasSem4[[#This Row],[Id da Venda]]=B50,"",SUMIF(VendasSem4[Id da Venda],VendasSem4[[#This Row],[Id da Venda]],VendasSem4[Total]))</f>
        <v/>
      </c>
    </row>
    <row r="50" spans="2:13" x14ac:dyDescent="0.25">
      <c r="B50">
        <v>37</v>
      </c>
      <c r="C50" s="7">
        <v>45188</v>
      </c>
      <c r="D50" t="s">
        <v>36</v>
      </c>
      <c r="E50" t="str">
        <f>IFERROR(VLOOKUP(VendasSem4[[#This Row],[Produto]],cálculos!$I$3:$L$50,4,0),"")</f>
        <v>Kg</v>
      </c>
      <c r="F50">
        <v>20</v>
      </c>
      <c r="G50" s="6">
        <f>IFERROR(VLOOKUP(VendasSem4[[#This Row],[Produto]],cálculos!$I$3:$L$50,3,0),0)</f>
        <v>15.9</v>
      </c>
      <c r="H50" s="6">
        <f>IFERROR(VendasSem4[[#This Row],[Quantidade]]*VendasSem4[[#This Row],[Preço Unitário]],0)</f>
        <v>318</v>
      </c>
      <c r="I50" s="11"/>
      <c r="J50" t="s">
        <v>109</v>
      </c>
      <c r="K50" s="6">
        <f>IFERROR(IF(VendasSem4[[#This Row],[Id da Venda]]=B51,0,VLOOKUP(VendasSem4[[#This Row],[Região de Entrega]],cálculos!$B$5:$C$9,2,0)),0)</f>
        <v>0</v>
      </c>
      <c r="L50" s="6">
        <f>(VendasSem4[[#This Row],[Subtotal]]*(1-VendasSem4[[#This Row],[Desconto]])+VendasSem4[[#This Row],[Valor de Entrega]])</f>
        <v>318</v>
      </c>
      <c r="M50" s="6" t="str">
        <f>IF(VendasSem4[[#This Row],[Id da Venda]]=B51,"",SUMIF(VendasSem4[Id da Venda],VendasSem4[[#This Row],[Id da Venda]],VendasSem4[Total]))</f>
        <v/>
      </c>
    </row>
    <row r="51" spans="2:13" x14ac:dyDescent="0.25">
      <c r="B51">
        <v>37</v>
      </c>
      <c r="C51" s="7">
        <v>45188</v>
      </c>
      <c r="D51" t="s">
        <v>46</v>
      </c>
      <c r="E51" t="str">
        <f>IFERROR(VLOOKUP(VendasSem4[[#This Row],[Produto]],cálculos!$I$3:$L$50,4,0),"")</f>
        <v>Garrafa</v>
      </c>
      <c r="F51">
        <v>10</v>
      </c>
      <c r="G51" s="6">
        <f>IFERROR(VLOOKUP(VendasSem4[[#This Row],[Produto]],cálculos!$I$3:$L$50,3,0),0)</f>
        <v>54.9</v>
      </c>
      <c r="H51" s="6">
        <f>IFERROR(VendasSem4[[#This Row],[Quantidade]]*VendasSem4[[#This Row],[Preço Unitário]],0)</f>
        <v>549</v>
      </c>
      <c r="I51" s="11"/>
      <c r="J51" t="s">
        <v>109</v>
      </c>
      <c r="K51" s="6">
        <f>IFERROR(IF(VendasSem4[[#This Row],[Id da Venda]]=B52,0,VLOOKUP(VendasSem4[[#This Row],[Região de Entrega]],cálculos!$B$5:$C$9,2,0)),0)</f>
        <v>0</v>
      </c>
      <c r="L51" s="6">
        <f>(VendasSem4[[#This Row],[Subtotal]]*(1-VendasSem4[[#This Row],[Desconto]])+VendasSem4[[#This Row],[Valor de Entrega]])</f>
        <v>549</v>
      </c>
      <c r="M51" s="6">
        <f>IF(VendasSem4[[#This Row],[Id da Venda]]=B52,"",SUMIF(VendasSem4[Id da Venda],VendasSem4[[#This Row],[Id da Venda]],VendasSem4[Total]))</f>
        <v>1086</v>
      </c>
    </row>
    <row r="52" spans="2:13" x14ac:dyDescent="0.25">
      <c r="B52">
        <v>38</v>
      </c>
      <c r="C52" s="7">
        <v>45188</v>
      </c>
      <c r="D52" t="s">
        <v>120</v>
      </c>
      <c r="E52" t="str">
        <f>IFERROR(VLOOKUP(VendasSem4[[#This Row],[Produto]],cálculos!$I$3:$L$50,4,0),"")</f>
        <v>Kg</v>
      </c>
      <c r="F52">
        <v>2</v>
      </c>
      <c r="G52" s="6">
        <f>IFERROR(VLOOKUP(VendasSem4[[#This Row],[Produto]],cálculos!$I$3:$L$50,3,0),0)</f>
        <v>4.5</v>
      </c>
      <c r="H52" s="6">
        <f>IFERROR(VendasSem4[[#This Row],[Quantidade]]*VendasSem4[[#This Row],[Preço Unitário]],0)</f>
        <v>9</v>
      </c>
      <c r="I52" s="11"/>
      <c r="J52" t="s">
        <v>108</v>
      </c>
      <c r="K52" s="6">
        <f>IFERROR(IF(VendasSem4[[#This Row],[Id da Venda]]=B53,0,VLOOKUP(VendasSem4[[#This Row],[Região de Entrega]],cálculos!$B$5:$C$9,2,0)),0)</f>
        <v>0</v>
      </c>
      <c r="L52" s="6">
        <f>(VendasSem4[[#This Row],[Subtotal]]*(1-VendasSem4[[#This Row],[Desconto]])+VendasSem4[[#This Row],[Valor de Entrega]])</f>
        <v>9</v>
      </c>
      <c r="M52" s="6" t="str">
        <f>IF(VendasSem4[[#This Row],[Id da Venda]]=B53,"",SUMIF(VendasSem4[Id da Venda],VendasSem4[[#This Row],[Id da Venda]],VendasSem4[Total]))</f>
        <v/>
      </c>
    </row>
    <row r="53" spans="2:13" x14ac:dyDescent="0.25">
      <c r="B53">
        <v>38</v>
      </c>
      <c r="C53" s="7">
        <v>45188</v>
      </c>
      <c r="D53" t="s">
        <v>118</v>
      </c>
      <c r="E53" t="str">
        <f>IFERROR(VLOOKUP(VendasSem4[[#This Row],[Produto]],cálculos!$I$3:$L$50,4,0),"")</f>
        <v>Kg</v>
      </c>
      <c r="F53">
        <v>5</v>
      </c>
      <c r="G53" s="6">
        <f>IFERROR(VLOOKUP(VendasSem4[[#This Row],[Produto]],cálculos!$I$3:$L$50,3,0),0)</f>
        <v>4</v>
      </c>
      <c r="H53" s="6">
        <f>IFERROR(VendasSem4[[#This Row],[Quantidade]]*VendasSem4[[#This Row],[Preço Unitário]],0)</f>
        <v>20</v>
      </c>
      <c r="I53" s="11"/>
      <c r="J53" t="s">
        <v>108</v>
      </c>
      <c r="K53" s="6">
        <f>IFERROR(IF(VendasSem4[[#This Row],[Id da Venda]]=B54,0,VLOOKUP(VendasSem4[[#This Row],[Região de Entrega]],cálculos!$B$5:$C$9,2,0)),0)</f>
        <v>0</v>
      </c>
      <c r="L53" s="6">
        <f>(VendasSem4[[#This Row],[Subtotal]]*(1-VendasSem4[[#This Row],[Desconto]])+VendasSem4[[#This Row],[Valor de Entrega]])</f>
        <v>20</v>
      </c>
      <c r="M53" s="6" t="str">
        <f>IF(VendasSem4[[#This Row],[Id da Venda]]=B54,"",SUMIF(VendasSem4[Id da Venda],VendasSem4[[#This Row],[Id da Venda]],VendasSem4[Total]))</f>
        <v/>
      </c>
    </row>
    <row r="54" spans="2:13" x14ac:dyDescent="0.25">
      <c r="B54">
        <v>38</v>
      </c>
      <c r="C54" s="7">
        <v>45188</v>
      </c>
      <c r="D54" t="s">
        <v>32</v>
      </c>
      <c r="E54" t="str">
        <f>IFERROR(VLOOKUP(VendasSem4[[#This Row],[Produto]],cálculos!$I$3:$L$50,4,0),"")</f>
        <v>Kg</v>
      </c>
      <c r="F54">
        <v>10</v>
      </c>
      <c r="G54" s="6">
        <f>IFERROR(VLOOKUP(VendasSem4[[#This Row],[Produto]],cálculos!$I$3:$L$50,3,0),0)</f>
        <v>2.4900000000000002</v>
      </c>
      <c r="H54" s="6">
        <f>IFERROR(VendasSem4[[#This Row],[Quantidade]]*VendasSem4[[#This Row],[Preço Unitário]],0)</f>
        <v>24.900000000000002</v>
      </c>
      <c r="I54" s="11"/>
      <c r="J54" t="s">
        <v>108</v>
      </c>
      <c r="K54" s="6">
        <f>IFERROR(IF(VendasSem4[[#This Row],[Id da Venda]]=B55,0,VLOOKUP(VendasSem4[[#This Row],[Região de Entrega]],cálculos!$B$5:$C$9,2,0)),0)</f>
        <v>0</v>
      </c>
      <c r="L54" s="6">
        <f>(VendasSem4[[#This Row],[Subtotal]]*(1-VendasSem4[[#This Row],[Desconto]])+VendasSem4[[#This Row],[Valor de Entrega]])</f>
        <v>24.900000000000002</v>
      </c>
      <c r="M54" s="6" t="str">
        <f>IF(VendasSem4[[#This Row],[Id da Venda]]=B55,"",SUMIF(VendasSem4[Id da Venda],VendasSem4[[#This Row],[Id da Venda]],VendasSem4[Total]))</f>
        <v/>
      </c>
    </row>
    <row r="55" spans="2:13" x14ac:dyDescent="0.25">
      <c r="B55">
        <v>38</v>
      </c>
      <c r="C55" s="7">
        <v>45188</v>
      </c>
      <c r="D55" t="s">
        <v>33</v>
      </c>
      <c r="E55" t="str">
        <f>IFERROR(VLOOKUP(VendasSem4[[#This Row],[Produto]],cálculos!$I$3:$L$50,4,0),"")</f>
        <v>Kg</v>
      </c>
      <c r="F55">
        <v>3</v>
      </c>
      <c r="G55" s="6">
        <f>IFERROR(VLOOKUP(VendasSem4[[#This Row],[Produto]],cálculos!$I$3:$L$50,3,0),0)</f>
        <v>4.28</v>
      </c>
      <c r="H55" s="6">
        <f>IFERROR(VendasSem4[[#This Row],[Quantidade]]*VendasSem4[[#This Row],[Preço Unitário]],0)</f>
        <v>12.84</v>
      </c>
      <c r="I55" s="11"/>
      <c r="J55" t="s">
        <v>108</v>
      </c>
      <c r="K55" s="6">
        <f>IFERROR(IF(VendasSem4[[#This Row],[Id da Venda]]=B56,0,VLOOKUP(VendasSem4[[#This Row],[Região de Entrega]],cálculos!$B$5:$C$9,2,0)),0)</f>
        <v>0</v>
      </c>
      <c r="L55" s="6">
        <f>(VendasSem4[[#This Row],[Subtotal]]*(1-VendasSem4[[#This Row],[Desconto]])+VendasSem4[[#This Row],[Valor de Entrega]])</f>
        <v>12.84</v>
      </c>
      <c r="M55" s="6" t="str">
        <f>IF(VendasSem4[[#This Row],[Id da Venda]]=B56,"",SUMIF(VendasSem4[Id da Venda],VendasSem4[[#This Row],[Id da Venda]],VendasSem4[Total]))</f>
        <v/>
      </c>
    </row>
    <row r="56" spans="2:13" x14ac:dyDescent="0.25">
      <c r="B56">
        <v>38</v>
      </c>
      <c r="C56" s="7">
        <v>45188</v>
      </c>
      <c r="D56" t="s">
        <v>34</v>
      </c>
      <c r="E56" t="str">
        <f>IFERROR(VLOOKUP(VendasSem4[[#This Row],[Produto]],cálculos!$I$3:$L$50,4,0),"")</f>
        <v>Kg</v>
      </c>
      <c r="F56">
        <v>10</v>
      </c>
      <c r="G56" s="6">
        <f>IFERROR(VLOOKUP(VendasSem4[[#This Row],[Produto]],cálculos!$I$3:$L$50,3,0),0)</f>
        <v>5.82</v>
      </c>
      <c r="H56" s="6">
        <f>IFERROR(VendasSem4[[#This Row],[Quantidade]]*VendasSem4[[#This Row],[Preço Unitário]],0)</f>
        <v>58.2</v>
      </c>
      <c r="I56" s="11"/>
      <c r="J56" t="s">
        <v>108</v>
      </c>
      <c r="K56" s="6">
        <f>IFERROR(IF(VendasSem4[[#This Row],[Id da Venda]]=B57,0,VLOOKUP(VendasSem4[[#This Row],[Região de Entrega]],cálculos!$B$5:$C$9,2,0)),0)</f>
        <v>0</v>
      </c>
      <c r="L56" s="6">
        <f>(VendasSem4[[#This Row],[Subtotal]]*(1-VendasSem4[[#This Row],[Desconto]])+VendasSem4[[#This Row],[Valor de Entrega]])</f>
        <v>58.2</v>
      </c>
      <c r="M56" s="6" t="str">
        <f>IF(VendasSem4[[#This Row],[Id da Venda]]=B57,"",SUMIF(VendasSem4[Id da Venda],VendasSem4[[#This Row],[Id da Venda]],VendasSem4[Total]))</f>
        <v/>
      </c>
    </row>
    <row r="57" spans="2:13" x14ac:dyDescent="0.25">
      <c r="B57">
        <v>38</v>
      </c>
      <c r="C57" s="7">
        <v>45188</v>
      </c>
      <c r="D57" t="s">
        <v>35</v>
      </c>
      <c r="E57" t="str">
        <f>IFERROR(VLOOKUP(VendasSem4[[#This Row],[Produto]],cálculos!$I$3:$L$50,4,0),"")</f>
        <v>Unidade</v>
      </c>
      <c r="F57">
        <v>2</v>
      </c>
      <c r="G57" s="6">
        <f>IFERROR(VLOOKUP(VendasSem4[[#This Row],[Produto]],cálculos!$I$3:$L$50,3,0),0)</f>
        <v>2.99</v>
      </c>
      <c r="H57" s="6">
        <f>IFERROR(VendasSem4[[#This Row],[Quantidade]]*VendasSem4[[#This Row],[Preço Unitário]],0)</f>
        <v>5.98</v>
      </c>
      <c r="I57" s="11"/>
      <c r="J57" t="s">
        <v>108</v>
      </c>
      <c r="K57" s="6">
        <f>IFERROR(IF(VendasSem4[[#This Row],[Id da Venda]]=B58,0,VLOOKUP(VendasSem4[[#This Row],[Região de Entrega]],cálculos!$B$5:$C$9,2,0)),0)</f>
        <v>0</v>
      </c>
      <c r="L57" s="6">
        <f>(VendasSem4[[#This Row],[Subtotal]]*(1-VendasSem4[[#This Row],[Desconto]])+VendasSem4[[#This Row],[Valor de Entrega]])</f>
        <v>5.98</v>
      </c>
      <c r="M57" s="6" t="str">
        <f>IF(VendasSem4[[#This Row],[Id da Venda]]=B58,"",SUMIF(VendasSem4[Id da Venda],VendasSem4[[#This Row],[Id da Venda]],VendasSem4[Total]))</f>
        <v/>
      </c>
    </row>
    <row r="58" spans="2:13" x14ac:dyDescent="0.25">
      <c r="B58">
        <v>38</v>
      </c>
      <c r="C58" s="7">
        <v>45188</v>
      </c>
      <c r="D58" t="s">
        <v>41</v>
      </c>
      <c r="E58" t="str">
        <f>IFERROR(VLOOKUP(VendasSem4[[#This Row],[Produto]],cálculos!$I$3:$L$50,4,0),"")</f>
        <v>Litro</v>
      </c>
      <c r="F58">
        <v>2</v>
      </c>
      <c r="G58" s="6">
        <f>IFERROR(VLOOKUP(VendasSem4[[#This Row],[Produto]],cálculos!$I$3:$L$50,3,0),0)</f>
        <v>3.45</v>
      </c>
      <c r="H58" s="6">
        <f>IFERROR(VendasSem4[[#This Row],[Quantidade]]*VendasSem4[[#This Row],[Preço Unitário]],0)</f>
        <v>6.9</v>
      </c>
      <c r="I58" s="11"/>
      <c r="J58" t="s">
        <v>108</v>
      </c>
      <c r="K58" s="6">
        <f>IFERROR(IF(VendasSem4[[#This Row],[Id da Venda]]=B59,0,VLOOKUP(VendasSem4[[#This Row],[Região de Entrega]],cálculos!$B$5:$C$9,2,0)),0)</f>
        <v>0</v>
      </c>
      <c r="L58" s="6">
        <f>(VendasSem4[[#This Row],[Subtotal]]*(1-VendasSem4[[#This Row],[Desconto]])+VendasSem4[[#This Row],[Valor de Entrega]])</f>
        <v>6.9</v>
      </c>
      <c r="M58" s="6" t="str">
        <f>IF(VendasSem4[[#This Row],[Id da Venda]]=B59,"",SUMIF(VendasSem4[Id da Venda],VendasSem4[[#This Row],[Id da Venda]],VendasSem4[Total]))</f>
        <v/>
      </c>
    </row>
    <row r="59" spans="2:13" x14ac:dyDescent="0.25">
      <c r="B59">
        <v>38</v>
      </c>
      <c r="C59" s="7">
        <v>45188</v>
      </c>
      <c r="D59" t="s">
        <v>43</v>
      </c>
      <c r="E59" t="str">
        <f>IFERROR(VLOOKUP(VendasSem4[[#This Row],[Produto]],cálculos!$I$3:$L$50,4,0),"")</f>
        <v>Kg</v>
      </c>
      <c r="F59">
        <v>2</v>
      </c>
      <c r="G59" s="6">
        <f>IFERROR(VLOOKUP(VendasSem4[[#This Row],[Produto]],cálculos!$I$3:$L$50,3,0),0)</f>
        <v>9.58</v>
      </c>
      <c r="H59" s="6">
        <f>IFERROR(VendasSem4[[#This Row],[Quantidade]]*VendasSem4[[#This Row],[Preço Unitário]],0)</f>
        <v>19.16</v>
      </c>
      <c r="I59" s="11"/>
      <c r="J59" t="s">
        <v>108</v>
      </c>
      <c r="K59" s="6">
        <f>IFERROR(IF(VendasSem4[[#This Row],[Id da Venda]]=B60,0,VLOOKUP(VendasSem4[[#This Row],[Região de Entrega]],cálculos!$B$5:$C$9,2,0)),0)</f>
        <v>0</v>
      </c>
      <c r="L59" s="6">
        <f>(VendasSem4[[#This Row],[Subtotal]]*(1-VendasSem4[[#This Row],[Desconto]])+VendasSem4[[#This Row],[Valor de Entrega]])</f>
        <v>19.16</v>
      </c>
      <c r="M59" s="6" t="str">
        <f>IF(VendasSem4[[#This Row],[Id da Venda]]=B60,"",SUMIF(VendasSem4[Id da Venda],VendasSem4[[#This Row],[Id da Venda]],VendasSem4[Total]))</f>
        <v/>
      </c>
    </row>
    <row r="60" spans="2:13" x14ac:dyDescent="0.25">
      <c r="B60">
        <v>38</v>
      </c>
      <c r="C60" s="7">
        <v>45188</v>
      </c>
      <c r="D60" t="s">
        <v>132</v>
      </c>
      <c r="E60" t="str">
        <f>IFERROR(VLOOKUP(VendasSem4[[#This Row],[Produto]],cálculos!$I$3:$L$50,4,0),"")</f>
        <v>Kg</v>
      </c>
      <c r="F60">
        <v>2</v>
      </c>
      <c r="G60" s="6">
        <f>IFERROR(VLOOKUP(VendasSem4[[#This Row],[Produto]],cálculos!$I$3:$L$50,3,0),0)</f>
        <v>2.9</v>
      </c>
      <c r="H60" s="6">
        <f>IFERROR(VendasSem4[[#This Row],[Quantidade]]*VendasSem4[[#This Row],[Preço Unitário]],0)</f>
        <v>5.8</v>
      </c>
      <c r="I60" s="11"/>
      <c r="J60" t="s">
        <v>108</v>
      </c>
      <c r="K60" s="6">
        <f>IFERROR(IF(VendasSem4[[#This Row],[Id da Venda]]=B61,0,VLOOKUP(VendasSem4[[#This Row],[Região de Entrega]],cálculos!$B$5:$C$9,2,0)),0)</f>
        <v>10</v>
      </c>
      <c r="L60" s="6">
        <f>(VendasSem4[[#This Row],[Subtotal]]*(1-VendasSem4[[#This Row],[Desconto]])+VendasSem4[[#This Row],[Valor de Entrega]])</f>
        <v>15.8</v>
      </c>
      <c r="M60" s="6">
        <f>IF(VendasSem4[[#This Row],[Id da Venda]]=B61,"",SUMIF(VendasSem4[Id da Venda],VendasSem4[[#This Row],[Id da Venda]],VendasSem4[Total]))</f>
        <v>172.78000000000003</v>
      </c>
    </row>
    <row r="61" spans="2:13" x14ac:dyDescent="0.25">
      <c r="B61">
        <v>39</v>
      </c>
      <c r="C61" s="7">
        <v>45188</v>
      </c>
      <c r="D61" t="s">
        <v>66</v>
      </c>
      <c r="E61" t="str">
        <f>IFERROR(VLOOKUP(VendasSem4[[#This Row],[Produto]],cálculos!$I$3:$L$50,4,0),"")</f>
        <v>Litro</v>
      </c>
      <c r="F61">
        <v>2</v>
      </c>
      <c r="G61" s="6">
        <f>IFERROR(VLOOKUP(VendasSem4[[#This Row],[Produto]],cálculos!$I$3:$L$50,3,0),0)</f>
        <v>1.49</v>
      </c>
      <c r="H61" s="6">
        <f>IFERROR(VendasSem4[[#This Row],[Quantidade]]*VendasSem4[[#This Row],[Preço Unitário]],0)</f>
        <v>2.98</v>
      </c>
      <c r="I61" s="11"/>
      <c r="J61" t="s">
        <v>109</v>
      </c>
      <c r="K61" s="6">
        <f>IFERROR(IF(VendasSem4[[#This Row],[Id da Venda]]=B62,0,VLOOKUP(VendasSem4[[#This Row],[Região de Entrega]],cálculos!$B$5:$C$9,2,0)),0)</f>
        <v>0</v>
      </c>
      <c r="L61" s="6">
        <f>(VendasSem4[[#This Row],[Subtotal]]*(1-VendasSem4[[#This Row],[Desconto]])+VendasSem4[[#This Row],[Valor de Entrega]])</f>
        <v>2.98</v>
      </c>
      <c r="M61" s="6" t="str">
        <f>IF(VendasSem4[[#This Row],[Id da Venda]]=B62,"",SUMIF(VendasSem4[Id da Venda],VendasSem4[[#This Row],[Id da Venda]],VendasSem4[Total]))</f>
        <v/>
      </c>
    </row>
    <row r="62" spans="2:13" x14ac:dyDescent="0.25">
      <c r="B62">
        <v>39</v>
      </c>
      <c r="C62" s="7">
        <v>45188</v>
      </c>
      <c r="D62" t="s">
        <v>118</v>
      </c>
      <c r="E62" t="str">
        <f>IFERROR(VLOOKUP(VendasSem4[[#This Row],[Produto]],cálculos!$I$3:$L$50,4,0),"")</f>
        <v>Kg</v>
      </c>
      <c r="F62">
        <v>5</v>
      </c>
      <c r="G62" s="6">
        <f>IFERROR(VLOOKUP(VendasSem4[[#This Row],[Produto]],cálculos!$I$3:$L$50,3,0),0)</f>
        <v>4</v>
      </c>
      <c r="H62" s="6">
        <f>IFERROR(VendasSem4[[#This Row],[Quantidade]]*VendasSem4[[#This Row],[Preço Unitário]],0)</f>
        <v>20</v>
      </c>
      <c r="I62" s="11"/>
      <c r="J62" t="s">
        <v>109</v>
      </c>
      <c r="K62" s="6">
        <f>IFERROR(IF(VendasSem4[[#This Row],[Id da Venda]]=B63,0,VLOOKUP(VendasSem4[[#This Row],[Região de Entrega]],cálculos!$B$5:$C$9,2,0)),0)</f>
        <v>0</v>
      </c>
      <c r="L62" s="6">
        <f>(VendasSem4[[#This Row],[Subtotal]]*(1-VendasSem4[[#This Row],[Desconto]])+VendasSem4[[#This Row],[Valor de Entrega]])</f>
        <v>20</v>
      </c>
      <c r="M62" s="6" t="str">
        <f>IF(VendasSem4[[#This Row],[Id da Venda]]=B63,"",SUMIF(VendasSem4[Id da Venda],VendasSem4[[#This Row],[Id da Venda]],VendasSem4[Total]))</f>
        <v/>
      </c>
    </row>
    <row r="63" spans="2:13" x14ac:dyDescent="0.25">
      <c r="B63">
        <v>39</v>
      </c>
      <c r="C63" s="7">
        <v>45188</v>
      </c>
      <c r="D63" t="s">
        <v>39</v>
      </c>
      <c r="E63" t="str">
        <f>IFERROR(VLOOKUP(VendasSem4[[#This Row],[Produto]],cálculos!$I$3:$L$50,4,0),"")</f>
        <v>Kg</v>
      </c>
      <c r="F63">
        <v>1</v>
      </c>
      <c r="G63" s="6">
        <f>IFERROR(VLOOKUP(VendasSem4[[#This Row],[Produto]],cálculos!$I$3:$L$50,3,0),0)</f>
        <v>25.9</v>
      </c>
      <c r="H63" s="6">
        <f>IFERROR(VendasSem4[[#This Row],[Quantidade]]*VendasSem4[[#This Row],[Preço Unitário]],0)</f>
        <v>25.9</v>
      </c>
      <c r="I63" s="11"/>
      <c r="J63" t="s">
        <v>109</v>
      </c>
      <c r="K63" s="6">
        <f>IFERROR(IF(VendasSem4[[#This Row],[Id da Venda]]=B64,0,VLOOKUP(VendasSem4[[#This Row],[Região de Entrega]],cálculos!$B$5:$C$9,2,0)),0)</f>
        <v>0</v>
      </c>
      <c r="L63" s="6">
        <f>(VendasSem4[[#This Row],[Subtotal]]*(1-VendasSem4[[#This Row],[Desconto]])+VendasSem4[[#This Row],[Valor de Entrega]])</f>
        <v>25.9</v>
      </c>
      <c r="M63" s="6" t="str">
        <f>IF(VendasSem4[[#This Row],[Id da Venda]]=B64,"",SUMIF(VendasSem4[Id da Venda],VendasSem4[[#This Row],[Id da Venda]],VendasSem4[Total]))</f>
        <v/>
      </c>
    </row>
    <row r="64" spans="2:13" x14ac:dyDescent="0.25">
      <c r="B64">
        <v>39</v>
      </c>
      <c r="C64" s="7">
        <v>45188</v>
      </c>
      <c r="D64" t="s">
        <v>34</v>
      </c>
      <c r="E64" t="str">
        <f>IFERROR(VLOOKUP(VendasSem4[[#This Row],[Produto]],cálculos!$I$3:$L$50,4,0),"")</f>
        <v>Kg</v>
      </c>
      <c r="F64">
        <v>5</v>
      </c>
      <c r="G64" s="6">
        <f>IFERROR(VLOOKUP(VendasSem4[[#This Row],[Produto]],cálculos!$I$3:$L$50,3,0),0)</f>
        <v>5.82</v>
      </c>
      <c r="H64" s="6">
        <f>IFERROR(VendasSem4[[#This Row],[Quantidade]]*VendasSem4[[#This Row],[Preço Unitário]],0)</f>
        <v>29.1</v>
      </c>
      <c r="I64" s="11"/>
      <c r="J64" t="s">
        <v>109</v>
      </c>
      <c r="K64" s="6">
        <f>IFERROR(IF(VendasSem4[[#This Row],[Id da Venda]]=B65,0,VLOOKUP(VendasSem4[[#This Row],[Região de Entrega]],cálculos!$B$5:$C$9,2,0)),0)</f>
        <v>0</v>
      </c>
      <c r="L64" s="6">
        <f>(VendasSem4[[#This Row],[Subtotal]]*(1-VendasSem4[[#This Row],[Desconto]])+VendasSem4[[#This Row],[Valor de Entrega]])</f>
        <v>29.1</v>
      </c>
      <c r="M64" s="6" t="str">
        <f>IF(VendasSem4[[#This Row],[Id da Venda]]=B65,"",SUMIF(VendasSem4[Id da Venda],VendasSem4[[#This Row],[Id da Venda]],VendasSem4[Total]))</f>
        <v/>
      </c>
    </row>
    <row r="65" spans="2:13" x14ac:dyDescent="0.25">
      <c r="B65">
        <v>39</v>
      </c>
      <c r="C65" s="7">
        <v>45188</v>
      </c>
      <c r="D65" t="s">
        <v>36</v>
      </c>
      <c r="E65" t="str">
        <f>IFERROR(VLOOKUP(VendasSem4[[#This Row],[Produto]],cálculos!$I$3:$L$50,4,0),"")</f>
        <v>Kg</v>
      </c>
      <c r="F65">
        <v>2</v>
      </c>
      <c r="G65" s="6">
        <f>IFERROR(VLOOKUP(VendasSem4[[#This Row],[Produto]],cálculos!$I$3:$L$50,3,0),0)</f>
        <v>15.9</v>
      </c>
      <c r="H65" s="6">
        <f>IFERROR(VendasSem4[[#This Row],[Quantidade]]*VendasSem4[[#This Row],[Preço Unitário]],0)</f>
        <v>31.8</v>
      </c>
      <c r="I65" s="11"/>
      <c r="J65" t="s">
        <v>109</v>
      </c>
      <c r="K65" s="6">
        <f>IFERROR(IF(VendasSem4[[#This Row],[Id da Venda]]=B66,0,VLOOKUP(VendasSem4[[#This Row],[Região de Entrega]],cálculos!$B$5:$C$9,2,0)),0)</f>
        <v>0</v>
      </c>
      <c r="L65" s="6">
        <f>(VendasSem4[[#This Row],[Subtotal]]*(1-VendasSem4[[#This Row],[Desconto]])+VendasSem4[[#This Row],[Valor de Entrega]])</f>
        <v>31.8</v>
      </c>
      <c r="M65" s="6">
        <f>IF(VendasSem4[[#This Row],[Id da Venda]]=B66,"",SUMIF(VendasSem4[Id da Venda],VendasSem4[[#This Row],[Id da Venda]],VendasSem4[Total]))</f>
        <v>109.77999999999999</v>
      </c>
    </row>
    <row r="66" spans="2:13" x14ac:dyDescent="0.25">
      <c r="B66">
        <v>40</v>
      </c>
      <c r="C66" s="7">
        <v>45189</v>
      </c>
      <c r="D66" t="s">
        <v>32</v>
      </c>
      <c r="E66" t="str">
        <f>IFERROR(VLOOKUP(VendasSem4[[#This Row],[Produto]],cálculos!$I$3:$L$50,4,0),"")</f>
        <v>Kg</v>
      </c>
      <c r="F66">
        <v>5</v>
      </c>
      <c r="G66" s="6">
        <f>IFERROR(VLOOKUP(VendasSem4[[#This Row],[Produto]],cálculos!$I$3:$L$50,3,0),0)</f>
        <v>2.4900000000000002</v>
      </c>
      <c r="H66" s="6">
        <f>IFERROR(VendasSem4[[#This Row],[Quantidade]]*VendasSem4[[#This Row],[Preço Unitário]],0)</f>
        <v>12.450000000000001</v>
      </c>
      <c r="I66" s="11"/>
      <c r="J66" t="s">
        <v>109</v>
      </c>
      <c r="K66" s="6">
        <f>IFERROR(IF(VendasSem4[[#This Row],[Id da Venda]]=B67,0,VLOOKUP(VendasSem4[[#This Row],[Região de Entrega]],cálculos!$B$5:$C$9,2,0)),0)</f>
        <v>0</v>
      </c>
      <c r="L66" s="6">
        <f>(VendasSem4[[#This Row],[Subtotal]]*(1-VendasSem4[[#This Row],[Desconto]])+VendasSem4[[#This Row],[Valor de Entrega]])</f>
        <v>12.450000000000001</v>
      </c>
      <c r="M66" s="6" t="str">
        <f>IF(VendasSem4[[#This Row],[Id da Venda]]=B67,"",SUMIF(VendasSem4[Id da Venda],VendasSem4[[#This Row],[Id da Venda]],VendasSem4[Total]))</f>
        <v/>
      </c>
    </row>
    <row r="67" spans="2:13" x14ac:dyDescent="0.25">
      <c r="B67">
        <v>40</v>
      </c>
      <c r="C67" s="7">
        <v>45189</v>
      </c>
      <c r="D67" t="s">
        <v>33</v>
      </c>
      <c r="E67" t="str">
        <f>IFERROR(VLOOKUP(VendasSem4[[#This Row],[Produto]],cálculos!$I$3:$L$50,4,0),"")</f>
        <v>Kg</v>
      </c>
      <c r="F67">
        <v>2</v>
      </c>
      <c r="G67" s="6">
        <f>IFERROR(VLOOKUP(VendasSem4[[#This Row],[Produto]],cálculos!$I$3:$L$50,3,0),0)</f>
        <v>4.28</v>
      </c>
      <c r="H67" s="6">
        <f>IFERROR(VendasSem4[[#This Row],[Quantidade]]*VendasSem4[[#This Row],[Preço Unitário]],0)</f>
        <v>8.56</v>
      </c>
      <c r="I67" s="11"/>
      <c r="J67" t="s">
        <v>109</v>
      </c>
      <c r="K67" s="6">
        <f>IFERROR(IF(VendasSem4[[#This Row],[Id da Venda]]=B68,0,VLOOKUP(VendasSem4[[#This Row],[Região de Entrega]],cálculos!$B$5:$C$9,2,0)),0)</f>
        <v>0</v>
      </c>
      <c r="L67" s="6">
        <f>(VendasSem4[[#This Row],[Subtotal]]*(1-VendasSem4[[#This Row],[Desconto]])+VendasSem4[[#This Row],[Valor de Entrega]])</f>
        <v>8.56</v>
      </c>
      <c r="M67" s="6" t="str">
        <f>IF(VendasSem4[[#This Row],[Id da Venda]]=B68,"",SUMIF(VendasSem4[Id da Venda],VendasSem4[[#This Row],[Id da Venda]],VendasSem4[Total]))</f>
        <v/>
      </c>
    </row>
    <row r="68" spans="2:13" x14ac:dyDescent="0.25">
      <c r="B68">
        <v>40</v>
      </c>
      <c r="C68" s="7">
        <v>45189</v>
      </c>
      <c r="D68" t="s">
        <v>42</v>
      </c>
      <c r="E68" t="str">
        <f>IFERROR(VLOOKUP(VendasSem4[[#This Row],[Produto]],cálculos!$I$3:$L$50,4,0),"")</f>
        <v>Kg</v>
      </c>
      <c r="F68">
        <v>2</v>
      </c>
      <c r="G68" s="6">
        <f>IFERROR(VLOOKUP(VendasSem4[[#This Row],[Produto]],cálculos!$I$3:$L$50,3,0),0)</f>
        <v>3.99</v>
      </c>
      <c r="H68" s="6">
        <f>IFERROR(VendasSem4[[#This Row],[Quantidade]]*VendasSem4[[#This Row],[Preço Unitário]],0)</f>
        <v>7.98</v>
      </c>
      <c r="I68" s="11"/>
      <c r="J68" t="s">
        <v>109</v>
      </c>
      <c r="K68" s="6">
        <f>IFERROR(IF(VendasSem4[[#This Row],[Id da Venda]]=B69,0,VLOOKUP(VendasSem4[[#This Row],[Região de Entrega]],cálculos!$B$5:$C$9,2,0)),0)</f>
        <v>0</v>
      </c>
      <c r="L68" s="6">
        <f>(VendasSem4[[#This Row],[Subtotal]]*(1-VendasSem4[[#This Row],[Desconto]])+VendasSem4[[#This Row],[Valor de Entrega]])</f>
        <v>7.98</v>
      </c>
      <c r="M68" s="6" t="str">
        <f>IF(VendasSem4[[#This Row],[Id da Venda]]=B69,"",SUMIF(VendasSem4[Id da Venda],VendasSem4[[#This Row],[Id da Venda]],VendasSem4[Total]))</f>
        <v/>
      </c>
    </row>
    <row r="69" spans="2:13" x14ac:dyDescent="0.25">
      <c r="B69">
        <v>40</v>
      </c>
      <c r="C69" s="7">
        <v>45189</v>
      </c>
      <c r="D69" t="s">
        <v>118</v>
      </c>
      <c r="E69" t="str">
        <f>IFERROR(VLOOKUP(VendasSem4[[#This Row],[Produto]],cálculos!$I$3:$L$50,4,0),"")</f>
        <v>Kg</v>
      </c>
      <c r="F69">
        <v>3</v>
      </c>
      <c r="G69" s="6">
        <f>IFERROR(VLOOKUP(VendasSem4[[#This Row],[Produto]],cálculos!$I$3:$L$50,3,0),0)</f>
        <v>4</v>
      </c>
      <c r="H69" s="6">
        <f>IFERROR(VendasSem4[[#This Row],[Quantidade]]*VendasSem4[[#This Row],[Preço Unitário]],0)</f>
        <v>12</v>
      </c>
      <c r="I69" s="11"/>
      <c r="J69" t="s">
        <v>109</v>
      </c>
      <c r="K69" s="6">
        <f>IFERROR(IF(VendasSem4[[#This Row],[Id da Venda]]=B70,0,VLOOKUP(VendasSem4[[#This Row],[Região de Entrega]],cálculos!$B$5:$C$9,2,0)),0)</f>
        <v>0</v>
      </c>
      <c r="L69" s="6">
        <f>(VendasSem4[[#This Row],[Subtotal]]*(1-VendasSem4[[#This Row],[Desconto]])+VendasSem4[[#This Row],[Valor de Entrega]])</f>
        <v>12</v>
      </c>
      <c r="M69" s="6" t="str">
        <f>IF(VendasSem4[[#This Row],[Id da Venda]]=B70,"",SUMIF(VendasSem4[Id da Venda],VendasSem4[[#This Row],[Id da Venda]],VendasSem4[Total]))</f>
        <v/>
      </c>
    </row>
    <row r="70" spans="2:13" x14ac:dyDescent="0.25">
      <c r="B70">
        <v>40</v>
      </c>
      <c r="C70" s="7">
        <v>45189</v>
      </c>
      <c r="D70" t="s">
        <v>36</v>
      </c>
      <c r="E70" t="str">
        <f>IFERROR(VLOOKUP(VendasSem4[[#This Row],[Produto]],cálculos!$I$3:$L$50,4,0),"")</f>
        <v>Kg</v>
      </c>
      <c r="F70">
        <v>5</v>
      </c>
      <c r="G70" s="6">
        <f>IFERROR(VLOOKUP(VendasSem4[[#This Row],[Produto]],cálculos!$I$3:$L$50,3,0),0)</f>
        <v>15.9</v>
      </c>
      <c r="H70" s="6">
        <f>IFERROR(VendasSem4[[#This Row],[Quantidade]]*VendasSem4[[#This Row],[Preço Unitário]],0)</f>
        <v>79.5</v>
      </c>
      <c r="I70" s="11"/>
      <c r="J70" t="s">
        <v>109</v>
      </c>
      <c r="K70" s="6">
        <f>IFERROR(IF(VendasSem4[[#This Row],[Id da Venda]]=B71,0,VLOOKUP(VendasSem4[[#This Row],[Região de Entrega]],cálculos!$B$5:$C$9,2,0)),0)</f>
        <v>0</v>
      </c>
      <c r="L70" s="6">
        <f>(VendasSem4[[#This Row],[Subtotal]]*(1-VendasSem4[[#This Row],[Desconto]])+VendasSem4[[#This Row],[Valor de Entrega]])</f>
        <v>79.5</v>
      </c>
      <c r="M70" s="6" t="str">
        <f>IF(VendasSem4[[#This Row],[Id da Venda]]=B71,"",SUMIF(VendasSem4[Id da Venda],VendasSem4[[#This Row],[Id da Venda]],VendasSem4[Total]))</f>
        <v/>
      </c>
    </row>
    <row r="71" spans="2:13" x14ac:dyDescent="0.25">
      <c r="B71">
        <v>40</v>
      </c>
      <c r="C71" s="7">
        <v>45189</v>
      </c>
      <c r="D71" t="s">
        <v>37</v>
      </c>
      <c r="E71" t="str">
        <f>IFERROR(VLOOKUP(VendasSem4[[#This Row],[Produto]],cálculos!$I$3:$L$50,4,0),"")</f>
        <v>Kg</v>
      </c>
      <c r="F71">
        <v>2</v>
      </c>
      <c r="G71" s="6">
        <f>IFERROR(VLOOKUP(VendasSem4[[#This Row],[Produto]],cálculos!$I$3:$L$50,3,0),0)</f>
        <v>6.98</v>
      </c>
      <c r="H71" s="6">
        <f>IFERROR(VendasSem4[[#This Row],[Quantidade]]*VendasSem4[[#This Row],[Preço Unitário]],0)</f>
        <v>13.96</v>
      </c>
      <c r="I71" s="11"/>
      <c r="J71" t="s">
        <v>109</v>
      </c>
      <c r="K71" s="6">
        <f>IFERROR(IF(VendasSem4[[#This Row],[Id da Venda]]=B72,0,VLOOKUP(VendasSem4[[#This Row],[Região de Entrega]],cálculos!$B$5:$C$9,2,0)),0)</f>
        <v>0</v>
      </c>
      <c r="L71" s="6">
        <f>(VendasSem4[[#This Row],[Subtotal]]*(1-VendasSem4[[#This Row],[Desconto]])+VendasSem4[[#This Row],[Valor de Entrega]])</f>
        <v>13.96</v>
      </c>
      <c r="M71" s="6" t="str">
        <f>IF(VendasSem4[[#This Row],[Id da Venda]]=B72,"",SUMIF(VendasSem4[Id da Venda],VendasSem4[[#This Row],[Id da Venda]],VendasSem4[Total]))</f>
        <v/>
      </c>
    </row>
    <row r="72" spans="2:13" x14ac:dyDescent="0.25">
      <c r="B72">
        <v>40</v>
      </c>
      <c r="C72" s="7">
        <v>45189</v>
      </c>
      <c r="D72" t="s">
        <v>137</v>
      </c>
      <c r="E72" t="str">
        <f>IFERROR(VLOOKUP(VendasSem4[[#This Row],[Produto]],cálculos!$I$3:$L$50,4,0),"")</f>
        <v>Kg</v>
      </c>
      <c r="F72">
        <v>1</v>
      </c>
      <c r="G72" s="6">
        <f>IFERROR(VLOOKUP(VendasSem4[[#This Row],[Produto]],cálculos!$I$3:$L$50,3,0),0)</f>
        <v>7</v>
      </c>
      <c r="H72" s="6">
        <f>IFERROR(VendasSem4[[#This Row],[Quantidade]]*VendasSem4[[#This Row],[Preço Unitário]],0)</f>
        <v>7</v>
      </c>
      <c r="I72" s="11"/>
      <c r="J72" t="s">
        <v>109</v>
      </c>
      <c r="K72" s="6">
        <f>IFERROR(IF(VendasSem4[[#This Row],[Id da Venda]]=B73,0,VLOOKUP(VendasSem4[[#This Row],[Região de Entrega]],cálculos!$B$5:$C$9,2,0)),0)</f>
        <v>0</v>
      </c>
      <c r="L72" s="6">
        <f>(VendasSem4[[#This Row],[Subtotal]]*(1-VendasSem4[[#This Row],[Desconto]])+VendasSem4[[#This Row],[Valor de Entrega]])</f>
        <v>7</v>
      </c>
      <c r="M72" s="6" t="str">
        <f>IF(VendasSem4[[#This Row],[Id da Venda]]=B73,"",SUMIF(VendasSem4[Id da Venda],VendasSem4[[#This Row],[Id da Venda]],VendasSem4[Total]))</f>
        <v/>
      </c>
    </row>
    <row r="73" spans="2:13" x14ac:dyDescent="0.25">
      <c r="B73">
        <v>40</v>
      </c>
      <c r="C73" s="7">
        <v>45189</v>
      </c>
      <c r="D73" t="s">
        <v>35</v>
      </c>
      <c r="E73" t="str">
        <f>IFERROR(VLOOKUP(VendasSem4[[#This Row],[Produto]],cálculos!$I$3:$L$50,4,0),"")</f>
        <v>Unidade</v>
      </c>
      <c r="F73">
        <v>1</v>
      </c>
      <c r="G73" s="6">
        <f>IFERROR(VLOOKUP(VendasSem4[[#This Row],[Produto]],cálculos!$I$3:$L$50,3,0),0)</f>
        <v>2.99</v>
      </c>
      <c r="H73" s="6">
        <f>IFERROR(VendasSem4[[#This Row],[Quantidade]]*VendasSem4[[#This Row],[Preço Unitário]],0)</f>
        <v>2.99</v>
      </c>
      <c r="I73" s="11"/>
      <c r="J73" t="s">
        <v>109</v>
      </c>
      <c r="K73" s="6">
        <f>IFERROR(IF(VendasSem4[[#This Row],[Id da Venda]]=B74,0,VLOOKUP(VendasSem4[[#This Row],[Região de Entrega]],cálculos!$B$5:$C$9,2,0)),0)</f>
        <v>0</v>
      </c>
      <c r="L73" s="6">
        <f>(VendasSem4[[#This Row],[Subtotal]]*(1-VendasSem4[[#This Row],[Desconto]])+VendasSem4[[#This Row],[Valor de Entrega]])</f>
        <v>2.99</v>
      </c>
      <c r="M73" s="6" t="str">
        <f>IF(VendasSem4[[#This Row],[Id da Venda]]=B74,"",SUMIF(VendasSem4[Id da Venda],VendasSem4[[#This Row],[Id da Venda]],VendasSem4[Total]))</f>
        <v/>
      </c>
    </row>
    <row r="74" spans="2:13" x14ac:dyDescent="0.25">
      <c r="B74">
        <v>40</v>
      </c>
      <c r="C74" s="7">
        <v>45189</v>
      </c>
      <c r="D74" t="s">
        <v>34</v>
      </c>
      <c r="E74" t="str">
        <f>IFERROR(VLOOKUP(VendasSem4[[#This Row],[Produto]],cálculos!$I$3:$L$50,4,0),"")</f>
        <v>Kg</v>
      </c>
      <c r="F74">
        <v>2.5</v>
      </c>
      <c r="G74" s="6">
        <f>IFERROR(VLOOKUP(VendasSem4[[#This Row],[Produto]],cálculos!$I$3:$L$50,3,0),0)</f>
        <v>5.82</v>
      </c>
      <c r="H74" s="6">
        <f>IFERROR(VendasSem4[[#This Row],[Quantidade]]*VendasSem4[[#This Row],[Preço Unitário]],0)</f>
        <v>14.55</v>
      </c>
      <c r="I74" s="11"/>
      <c r="J74" t="s">
        <v>109</v>
      </c>
      <c r="K74" s="6">
        <f>IFERROR(IF(VendasSem4[[#This Row],[Id da Venda]]=B75,0,VLOOKUP(VendasSem4[[#This Row],[Região de Entrega]],cálculos!$B$5:$C$9,2,0)),0)</f>
        <v>0</v>
      </c>
      <c r="L74" s="6">
        <f>(VendasSem4[[#This Row],[Subtotal]]*(1-VendasSem4[[#This Row],[Desconto]])+VendasSem4[[#This Row],[Valor de Entrega]])</f>
        <v>14.55</v>
      </c>
      <c r="M74" s="6" t="str">
        <f>IF(VendasSem4[[#This Row],[Id da Venda]]=B75,"",SUMIF(VendasSem4[Id da Venda],VendasSem4[[#This Row],[Id da Venda]],VendasSem4[Total]))</f>
        <v/>
      </c>
    </row>
    <row r="75" spans="2:13" x14ac:dyDescent="0.25">
      <c r="B75">
        <v>40</v>
      </c>
      <c r="C75" s="7">
        <v>45189</v>
      </c>
      <c r="D75" t="s">
        <v>71</v>
      </c>
      <c r="E75" t="str">
        <f>IFERROR(VLOOKUP(VendasSem4[[#This Row],[Produto]],cálculos!$I$3:$L$50,4,0),"")</f>
        <v>Unidade</v>
      </c>
      <c r="F75">
        <v>1</v>
      </c>
      <c r="G75" s="6">
        <f>IFERROR(VLOOKUP(VendasSem4[[#This Row],[Produto]],cálculos!$I$3:$L$50,3,0),0)</f>
        <v>2.89</v>
      </c>
      <c r="H75" s="6">
        <f>IFERROR(VendasSem4[[#This Row],[Quantidade]]*VendasSem4[[#This Row],[Preço Unitário]],0)</f>
        <v>2.89</v>
      </c>
      <c r="I75" s="11"/>
      <c r="J75" t="s">
        <v>109</v>
      </c>
      <c r="K75" s="6">
        <f>IFERROR(IF(VendasSem4[[#This Row],[Id da Venda]]=B76,0,VLOOKUP(VendasSem4[[#This Row],[Região de Entrega]],cálculos!$B$5:$C$9,2,0)),0)</f>
        <v>0</v>
      </c>
      <c r="L75" s="6">
        <f>(VendasSem4[[#This Row],[Subtotal]]*(1-VendasSem4[[#This Row],[Desconto]])+VendasSem4[[#This Row],[Valor de Entrega]])</f>
        <v>2.89</v>
      </c>
      <c r="M75" s="6" t="str">
        <f>IF(VendasSem4[[#This Row],[Id da Venda]]=B76,"",SUMIF(VendasSem4[Id da Venda],VendasSem4[[#This Row],[Id da Venda]],VendasSem4[Total]))</f>
        <v/>
      </c>
    </row>
    <row r="76" spans="2:13" x14ac:dyDescent="0.25">
      <c r="B76">
        <v>40</v>
      </c>
      <c r="C76" s="7">
        <v>45189</v>
      </c>
      <c r="D76" t="s">
        <v>38</v>
      </c>
      <c r="E76" t="str">
        <f>IFERROR(VLOOKUP(VendasSem4[[#This Row],[Produto]],cálculos!$I$3:$L$50,4,0),"")</f>
        <v>Kg</v>
      </c>
      <c r="F76">
        <v>0.8</v>
      </c>
      <c r="G76" s="6">
        <f>IFERROR(VLOOKUP(VendasSem4[[#This Row],[Produto]],cálculos!$I$3:$L$50,3,0),0)</f>
        <v>23.9</v>
      </c>
      <c r="H76" s="6">
        <f>IFERROR(VendasSem4[[#This Row],[Quantidade]]*VendasSem4[[#This Row],[Preço Unitário]],0)</f>
        <v>19.12</v>
      </c>
      <c r="I76" s="11"/>
      <c r="J76" t="s">
        <v>109</v>
      </c>
      <c r="K76" s="6">
        <f>IFERROR(IF(VendasSem4[[#This Row],[Id da Venda]]=B77,0,VLOOKUP(VendasSem4[[#This Row],[Região de Entrega]],cálculos!$B$5:$C$9,2,0)),0)</f>
        <v>0</v>
      </c>
      <c r="L76" s="6">
        <f>(VendasSem4[[#This Row],[Subtotal]]*(1-VendasSem4[[#This Row],[Desconto]])+VendasSem4[[#This Row],[Valor de Entrega]])</f>
        <v>19.12</v>
      </c>
      <c r="M76" s="6" t="str">
        <f>IF(VendasSem4[[#This Row],[Id da Venda]]=B77,"",SUMIF(VendasSem4[Id da Venda],VendasSem4[[#This Row],[Id da Venda]],VendasSem4[Total]))</f>
        <v/>
      </c>
    </row>
    <row r="77" spans="2:13" x14ac:dyDescent="0.25">
      <c r="B77">
        <v>40</v>
      </c>
      <c r="C77" s="7">
        <v>45189</v>
      </c>
      <c r="D77" t="s">
        <v>72</v>
      </c>
      <c r="E77" t="str">
        <f>IFERROR(VLOOKUP(VendasSem4[[#This Row],[Produto]],cálculos!$I$3:$L$50,4,0),"")</f>
        <v>Litro</v>
      </c>
      <c r="F77">
        <v>3</v>
      </c>
      <c r="G77" s="6">
        <f>IFERROR(VLOOKUP(VendasSem4[[#This Row],[Produto]],cálculos!$I$3:$L$50,3,0),0)</f>
        <v>2.39</v>
      </c>
      <c r="H77" s="6">
        <f>IFERROR(VendasSem4[[#This Row],[Quantidade]]*VendasSem4[[#This Row],[Preço Unitário]],0)</f>
        <v>7.17</v>
      </c>
      <c r="I77" s="11"/>
      <c r="J77" t="s">
        <v>109</v>
      </c>
      <c r="K77" s="6">
        <f>IFERROR(IF(VendasSem4[[#This Row],[Id da Venda]]=B78,0,VLOOKUP(VendasSem4[[#This Row],[Região de Entrega]],cálculos!$B$5:$C$9,2,0)),0)</f>
        <v>0</v>
      </c>
      <c r="L77" s="6">
        <f>(VendasSem4[[#This Row],[Subtotal]]*(1-VendasSem4[[#This Row],[Desconto]])+VendasSem4[[#This Row],[Valor de Entrega]])</f>
        <v>7.17</v>
      </c>
      <c r="M77" s="6" t="str">
        <f>IF(VendasSem4[[#This Row],[Id da Venda]]=B78,"",SUMIF(VendasSem4[Id da Venda],VendasSem4[[#This Row],[Id da Venda]],VendasSem4[Total]))</f>
        <v/>
      </c>
    </row>
    <row r="78" spans="2:13" x14ac:dyDescent="0.25">
      <c r="B78">
        <v>40</v>
      </c>
      <c r="C78" s="7">
        <v>45189</v>
      </c>
      <c r="D78" t="s">
        <v>126</v>
      </c>
      <c r="E78" t="str">
        <f>IFERROR(VLOOKUP(VendasSem4[[#This Row],[Produto]],cálculos!$I$3:$L$50,4,0),"")</f>
        <v>Unidade</v>
      </c>
      <c r="F78">
        <v>1</v>
      </c>
      <c r="G78" s="6">
        <f>IFERROR(VLOOKUP(VendasSem4[[#This Row],[Produto]],cálculos!$I$3:$L$50,3,0),0)</f>
        <v>7</v>
      </c>
      <c r="H78" s="6">
        <f>IFERROR(VendasSem4[[#This Row],[Quantidade]]*VendasSem4[[#This Row],[Preço Unitário]],0)</f>
        <v>7</v>
      </c>
      <c r="I78" s="11"/>
      <c r="J78" t="s">
        <v>109</v>
      </c>
      <c r="K78" s="6">
        <f>IFERROR(IF(VendasSem4[[#This Row],[Id da Venda]]=B79,0,VLOOKUP(VendasSem4[[#This Row],[Região de Entrega]],cálculos!$B$5:$C$9,2,0)),0)</f>
        <v>0</v>
      </c>
      <c r="L78" s="6">
        <f>(VendasSem4[[#This Row],[Subtotal]]*(1-VendasSem4[[#This Row],[Desconto]])+VendasSem4[[#This Row],[Valor de Entrega]])</f>
        <v>7</v>
      </c>
      <c r="M78" s="6" t="str">
        <f>IF(VendasSem4[[#This Row],[Id da Venda]]=B79,"",SUMIF(VendasSem4[Id da Venda],VendasSem4[[#This Row],[Id da Venda]],VendasSem4[Total]))</f>
        <v/>
      </c>
    </row>
    <row r="79" spans="2:13" x14ac:dyDescent="0.25">
      <c r="B79">
        <v>40</v>
      </c>
      <c r="C79" s="7">
        <v>45189</v>
      </c>
      <c r="D79" t="s">
        <v>132</v>
      </c>
      <c r="E79" t="str">
        <f>IFERROR(VLOOKUP(VendasSem4[[#This Row],[Produto]],cálculos!$I$3:$L$50,4,0),"")</f>
        <v>Kg</v>
      </c>
      <c r="F79">
        <v>2</v>
      </c>
      <c r="G79" s="6">
        <f>IFERROR(VLOOKUP(VendasSem4[[#This Row],[Produto]],cálculos!$I$3:$L$50,3,0),0)</f>
        <v>2.9</v>
      </c>
      <c r="H79" s="6">
        <f>IFERROR(VendasSem4[[#This Row],[Quantidade]]*VendasSem4[[#This Row],[Preço Unitário]],0)</f>
        <v>5.8</v>
      </c>
      <c r="I79" s="11"/>
      <c r="J79" t="s">
        <v>109</v>
      </c>
      <c r="K79" s="6">
        <f>IFERROR(IF(VendasSem4[[#This Row],[Id da Venda]]=B80,0,VLOOKUP(VendasSem4[[#This Row],[Região de Entrega]],cálculos!$B$5:$C$9,2,0)),0)</f>
        <v>0</v>
      </c>
      <c r="L79" s="6">
        <f>(VendasSem4[[#This Row],[Subtotal]]*(1-VendasSem4[[#This Row],[Desconto]])+VendasSem4[[#This Row],[Valor de Entrega]])</f>
        <v>5.8</v>
      </c>
      <c r="M79" s="6" t="str">
        <f>IF(VendasSem4[[#This Row],[Id da Venda]]=B80,"",SUMIF(VendasSem4[Id da Venda],VendasSem4[[#This Row],[Id da Venda]],VendasSem4[Total]))</f>
        <v/>
      </c>
    </row>
    <row r="80" spans="2:13" x14ac:dyDescent="0.25">
      <c r="B80">
        <v>40</v>
      </c>
      <c r="C80" s="7">
        <v>45189</v>
      </c>
      <c r="D80" t="s">
        <v>43</v>
      </c>
      <c r="E80" t="str">
        <f>IFERROR(VLOOKUP(VendasSem4[[#This Row],[Produto]],cálculos!$I$3:$L$50,4,0),"")</f>
        <v>Kg</v>
      </c>
      <c r="F80">
        <v>0.5</v>
      </c>
      <c r="G80" s="6">
        <f>IFERROR(VLOOKUP(VendasSem4[[#This Row],[Produto]],cálculos!$I$3:$L$50,3,0),0)</f>
        <v>9.58</v>
      </c>
      <c r="H80" s="6">
        <f>IFERROR(VendasSem4[[#This Row],[Quantidade]]*VendasSem4[[#This Row],[Preço Unitário]],0)</f>
        <v>4.79</v>
      </c>
      <c r="I80" s="11"/>
      <c r="J80" t="s">
        <v>109</v>
      </c>
      <c r="K80" s="6">
        <f>IFERROR(IF(VendasSem4[[#This Row],[Id da Venda]]=B81,0,VLOOKUP(VendasSem4[[#This Row],[Região de Entrega]],cálculos!$B$5:$C$9,2,0)),0)</f>
        <v>0</v>
      </c>
      <c r="L80" s="6">
        <f>(VendasSem4[[#This Row],[Subtotal]]*(1-VendasSem4[[#This Row],[Desconto]])+VendasSem4[[#This Row],[Valor de Entrega]])</f>
        <v>4.79</v>
      </c>
      <c r="M80" s="6" t="str">
        <f>IF(VendasSem4[[#This Row],[Id da Venda]]=B81,"",SUMIF(VendasSem4[Id da Venda],VendasSem4[[#This Row],[Id da Venda]],VendasSem4[Total]))</f>
        <v/>
      </c>
    </row>
    <row r="81" spans="2:13" x14ac:dyDescent="0.25">
      <c r="B81">
        <v>40</v>
      </c>
      <c r="C81" s="7">
        <v>45189</v>
      </c>
      <c r="D81" t="s">
        <v>128</v>
      </c>
      <c r="E81" t="str">
        <f>IFERROR(VLOOKUP(VendasSem4[[#This Row],[Produto]],cálculos!$I$3:$L$50,4,0),"")</f>
        <v>Kg</v>
      </c>
      <c r="F81">
        <v>2.5</v>
      </c>
      <c r="G81" s="6">
        <f>IFERROR(VLOOKUP(VendasSem4[[#This Row],[Produto]],cálculos!$I$3:$L$50,3,0),0)</f>
        <v>10</v>
      </c>
      <c r="H81" s="6">
        <f>IFERROR(VendasSem4[[#This Row],[Quantidade]]*VendasSem4[[#This Row],[Preço Unitário]],0)</f>
        <v>25</v>
      </c>
      <c r="I81" s="11"/>
      <c r="J81" t="s">
        <v>109</v>
      </c>
      <c r="K81" s="6">
        <f>IFERROR(IF(VendasSem4[[#This Row],[Id da Venda]]=B82,0,VLOOKUP(VendasSem4[[#This Row],[Região de Entrega]],cálculos!$B$5:$C$9,2,0)),0)</f>
        <v>0</v>
      </c>
      <c r="L81" s="6">
        <f>(VendasSem4[[#This Row],[Subtotal]]*(1-VendasSem4[[#This Row],[Desconto]])+VendasSem4[[#This Row],[Valor de Entrega]])</f>
        <v>25</v>
      </c>
      <c r="M81" s="6" t="str">
        <f>IF(VendasSem4[[#This Row],[Id da Venda]]=B82,"",SUMIF(VendasSem4[Id da Venda],VendasSem4[[#This Row],[Id da Venda]],VendasSem4[Total]))</f>
        <v/>
      </c>
    </row>
    <row r="82" spans="2:13" x14ac:dyDescent="0.25">
      <c r="B82">
        <v>40</v>
      </c>
      <c r="C82" s="7">
        <v>45189</v>
      </c>
      <c r="D82" t="s">
        <v>133</v>
      </c>
      <c r="E82" t="str">
        <f>IFERROR(VLOOKUP(VendasSem4[[#This Row],[Produto]],cálculos!$I$3:$L$50,4,0),"")</f>
        <v>Kg</v>
      </c>
      <c r="F82">
        <v>0.3</v>
      </c>
      <c r="G82" s="6">
        <f>IFERROR(VLOOKUP(VendasSem4[[#This Row],[Produto]],cálculos!$I$3:$L$50,3,0),0)</f>
        <v>3</v>
      </c>
      <c r="H82" s="6">
        <f>IFERROR(VendasSem4[[#This Row],[Quantidade]]*VendasSem4[[#This Row],[Preço Unitário]],0)</f>
        <v>0.89999999999999991</v>
      </c>
      <c r="I82" s="11"/>
      <c r="J82" t="s">
        <v>109</v>
      </c>
      <c r="K82" s="6">
        <f>IFERROR(IF(VendasSem4[[#This Row],[Id da Venda]]=B83,0,VLOOKUP(VendasSem4[[#This Row],[Região de Entrega]],cálculos!$B$5:$C$9,2,0)),0)</f>
        <v>0</v>
      </c>
      <c r="L82" s="6">
        <f>(VendasSem4[[#This Row],[Subtotal]]*(1-VendasSem4[[#This Row],[Desconto]])+VendasSem4[[#This Row],[Valor de Entrega]])</f>
        <v>0.89999999999999991</v>
      </c>
      <c r="M82" s="6">
        <f>IF(VendasSem4[[#This Row],[Id da Venda]]=B83,"",SUMIF(VendasSem4[Id da Venda],VendasSem4[[#This Row],[Id da Venda]],VendasSem4[Total]))</f>
        <v>231.66000000000003</v>
      </c>
    </row>
    <row r="83" spans="2:13" x14ac:dyDescent="0.25">
      <c r="B83">
        <v>41</v>
      </c>
      <c r="C83" s="7">
        <v>45189</v>
      </c>
      <c r="D83" t="s">
        <v>123</v>
      </c>
      <c r="E83" t="str">
        <f>IFERROR(VLOOKUP(VendasSem4[[#This Row],[Produto]],cálculos!$I$3:$L$50,4,0),"")</f>
        <v>Kg</v>
      </c>
      <c r="F83">
        <v>8</v>
      </c>
      <c r="G83" s="6">
        <f>IFERROR(VLOOKUP(VendasSem4[[#This Row],[Produto]],cálculos!$I$3:$L$50,3,0),0)</f>
        <v>8</v>
      </c>
      <c r="H83" s="6">
        <f>IFERROR(VendasSem4[[#This Row],[Quantidade]]*VendasSem4[[#This Row],[Preço Unitário]],0)</f>
        <v>64</v>
      </c>
      <c r="I83" s="11"/>
      <c r="J83" t="s">
        <v>112</v>
      </c>
      <c r="K83" s="6">
        <f>IFERROR(IF(VendasSem4[[#This Row],[Id da Venda]]=B84,0,VLOOKUP(VendasSem4[[#This Row],[Região de Entrega]],cálculos!$B$5:$C$9,2,0)),0)</f>
        <v>0</v>
      </c>
      <c r="L83" s="6">
        <f>(VendasSem4[[#This Row],[Subtotal]]*(1-VendasSem4[[#This Row],[Desconto]])+VendasSem4[[#This Row],[Valor de Entrega]])</f>
        <v>64</v>
      </c>
      <c r="M83" s="6" t="str">
        <f>IF(VendasSem4[[#This Row],[Id da Venda]]=B84,"",SUMIF(VendasSem4[Id da Venda],VendasSem4[[#This Row],[Id da Venda]],VendasSem4[Total]))</f>
        <v/>
      </c>
    </row>
    <row r="84" spans="2:13" x14ac:dyDescent="0.25">
      <c r="B84">
        <v>41</v>
      </c>
      <c r="C84" s="7">
        <v>45189</v>
      </c>
      <c r="D84" t="s">
        <v>129</v>
      </c>
      <c r="E84" t="str">
        <f>IFERROR(VLOOKUP(VendasSem4[[#This Row],[Produto]],cálculos!$I$3:$L$50,4,0),"")</f>
        <v>Unidade</v>
      </c>
      <c r="F84">
        <v>2</v>
      </c>
      <c r="G84" s="6">
        <f>IFERROR(VLOOKUP(VendasSem4[[#This Row],[Produto]],cálculos!$I$3:$L$50,3,0),0)</f>
        <v>18.899999999999999</v>
      </c>
      <c r="H84" s="6">
        <f>IFERROR(VendasSem4[[#This Row],[Quantidade]]*VendasSem4[[#This Row],[Preço Unitário]],0)</f>
        <v>37.799999999999997</v>
      </c>
      <c r="I84" s="11"/>
      <c r="J84" t="s">
        <v>112</v>
      </c>
      <c r="K84" s="6">
        <f>IFERROR(IF(VendasSem4[[#This Row],[Id da Venda]]=B85,0,VLOOKUP(VendasSem4[[#This Row],[Região de Entrega]],cálculos!$B$5:$C$9,2,0)),0)</f>
        <v>0</v>
      </c>
      <c r="L84" s="6">
        <f>(VendasSem4[[#This Row],[Subtotal]]*(1-VendasSem4[[#This Row],[Desconto]])+VendasSem4[[#This Row],[Valor de Entrega]])</f>
        <v>37.799999999999997</v>
      </c>
      <c r="M84" s="6" t="str">
        <f>IF(VendasSem4[[#This Row],[Id da Venda]]=B85,"",SUMIF(VendasSem4[Id da Venda],VendasSem4[[#This Row],[Id da Venda]],VendasSem4[Total]))</f>
        <v/>
      </c>
    </row>
    <row r="85" spans="2:13" x14ac:dyDescent="0.25">
      <c r="B85">
        <v>41</v>
      </c>
      <c r="C85" s="7">
        <v>45189</v>
      </c>
      <c r="D85" t="s">
        <v>128</v>
      </c>
      <c r="E85" t="str">
        <f>IFERROR(VLOOKUP(VendasSem4[[#This Row],[Produto]],cálculos!$I$3:$L$50,4,0),"")</f>
        <v>Kg</v>
      </c>
      <c r="F85">
        <v>3</v>
      </c>
      <c r="G85" s="6">
        <f>IFERROR(VLOOKUP(VendasSem4[[#This Row],[Produto]],cálculos!$I$3:$L$50,3,0),0)</f>
        <v>10</v>
      </c>
      <c r="H85" s="6">
        <f>IFERROR(VendasSem4[[#This Row],[Quantidade]]*VendasSem4[[#This Row],[Preço Unitário]],0)</f>
        <v>30</v>
      </c>
      <c r="I85" s="11"/>
      <c r="J85" t="s">
        <v>112</v>
      </c>
      <c r="K85" s="6">
        <f>IFERROR(IF(VendasSem4[[#This Row],[Id da Venda]]=B86,0,VLOOKUP(VendasSem4[[#This Row],[Região de Entrega]],cálculos!$B$5:$C$9,2,0)),0)</f>
        <v>0</v>
      </c>
      <c r="L85" s="6">
        <f>(VendasSem4[[#This Row],[Subtotal]]*(1-VendasSem4[[#This Row],[Desconto]])+VendasSem4[[#This Row],[Valor de Entrega]])</f>
        <v>30</v>
      </c>
      <c r="M85" s="6" t="str">
        <f>IF(VendasSem4[[#This Row],[Id da Venda]]=B86,"",SUMIF(VendasSem4[Id da Venda],VendasSem4[[#This Row],[Id da Venda]],VendasSem4[Total]))</f>
        <v/>
      </c>
    </row>
    <row r="86" spans="2:13" x14ac:dyDescent="0.25">
      <c r="B86">
        <v>41</v>
      </c>
      <c r="C86" s="7">
        <v>45189</v>
      </c>
      <c r="D86" t="s">
        <v>124</v>
      </c>
      <c r="E86" t="str">
        <f>IFERROR(VLOOKUP(VendasSem4[[#This Row],[Produto]],cálculos!$I$3:$L$50,4,0),"")</f>
        <v>Kg</v>
      </c>
      <c r="F86">
        <v>7</v>
      </c>
      <c r="G86" s="6">
        <f>IFERROR(VLOOKUP(VendasSem4[[#This Row],[Produto]],cálculos!$I$3:$L$50,3,0),0)</f>
        <v>7.8</v>
      </c>
      <c r="H86" s="6">
        <f>IFERROR(VendasSem4[[#This Row],[Quantidade]]*VendasSem4[[#This Row],[Preço Unitário]],0)</f>
        <v>54.6</v>
      </c>
      <c r="I86" s="11"/>
      <c r="J86" t="s">
        <v>112</v>
      </c>
      <c r="K86" s="6">
        <f>IFERROR(IF(VendasSem4[[#This Row],[Id da Venda]]=B87,0,VLOOKUP(VendasSem4[[#This Row],[Região de Entrega]],cálculos!$B$5:$C$9,2,0)),0)</f>
        <v>0</v>
      </c>
      <c r="L86" s="6">
        <f>(VendasSem4[[#This Row],[Subtotal]]*(1-VendasSem4[[#This Row],[Desconto]])+VendasSem4[[#This Row],[Valor de Entrega]])</f>
        <v>54.6</v>
      </c>
      <c r="M86" s="6" t="str">
        <f>IF(VendasSem4[[#This Row],[Id da Venda]]=B87,"",SUMIF(VendasSem4[Id da Venda],VendasSem4[[#This Row],[Id da Venda]],VendasSem4[Total]))</f>
        <v/>
      </c>
    </row>
    <row r="87" spans="2:13" x14ac:dyDescent="0.25">
      <c r="B87">
        <v>41</v>
      </c>
      <c r="C87" s="7">
        <v>45189</v>
      </c>
      <c r="D87" t="s">
        <v>121</v>
      </c>
      <c r="E87" t="str">
        <f>IFERROR(VLOOKUP(VendasSem4[[#This Row],[Produto]],cálculos!$I$3:$L$50,4,0),"")</f>
        <v>Kg</v>
      </c>
      <c r="F87">
        <v>5</v>
      </c>
      <c r="G87" s="6">
        <f>IFERROR(VLOOKUP(VendasSem4[[#This Row],[Produto]],cálculos!$I$3:$L$50,3,0),0)</f>
        <v>12</v>
      </c>
      <c r="H87" s="6">
        <f>IFERROR(VendasSem4[[#This Row],[Quantidade]]*VendasSem4[[#This Row],[Preço Unitário]],0)</f>
        <v>60</v>
      </c>
      <c r="I87" s="11"/>
      <c r="J87" t="s">
        <v>112</v>
      </c>
      <c r="K87" s="6">
        <f>IFERROR(IF(VendasSem4[[#This Row],[Id da Venda]]=B88,0,VLOOKUP(VendasSem4[[#This Row],[Região de Entrega]],cálculos!$B$5:$C$9,2,0)),0)</f>
        <v>7</v>
      </c>
      <c r="L87" s="6">
        <f>(VendasSem4[[#This Row],[Subtotal]]*(1-VendasSem4[[#This Row],[Desconto]])+VendasSem4[[#This Row],[Valor de Entrega]])</f>
        <v>67</v>
      </c>
      <c r="M87" s="6">
        <f>IF(VendasSem4[[#This Row],[Id da Venda]]=B88,"",SUMIF(VendasSem4[Id da Venda],VendasSem4[[#This Row],[Id da Venda]],VendasSem4[Total]))</f>
        <v>253.4</v>
      </c>
    </row>
    <row r="88" spans="2:13" x14ac:dyDescent="0.25">
      <c r="B88">
        <v>42</v>
      </c>
      <c r="C88" s="7">
        <v>45189</v>
      </c>
      <c r="D88" t="s">
        <v>120</v>
      </c>
      <c r="E88" t="str">
        <f>IFERROR(VLOOKUP(VendasSem4[[#This Row],[Produto]],cálculos!$I$3:$L$50,4,0),"")</f>
        <v>Kg</v>
      </c>
      <c r="F88">
        <v>2</v>
      </c>
      <c r="G88" s="6">
        <f>IFERROR(VLOOKUP(VendasSem4[[#This Row],[Produto]],cálculos!$I$3:$L$50,3,0),0)</f>
        <v>4.5</v>
      </c>
      <c r="H88" s="6">
        <f>IFERROR(VendasSem4[[#This Row],[Quantidade]]*VendasSem4[[#This Row],[Preço Unitário]],0)</f>
        <v>9</v>
      </c>
      <c r="I88" s="11"/>
      <c r="J88" t="s">
        <v>109</v>
      </c>
      <c r="K88" s="6">
        <f>IFERROR(IF(VendasSem4[[#This Row],[Id da Venda]]=B89,0,VLOOKUP(VendasSem4[[#This Row],[Região de Entrega]],cálculos!$B$5:$C$9,2,0)),0)</f>
        <v>0</v>
      </c>
      <c r="L88" s="6">
        <f>(VendasSem4[[#This Row],[Subtotal]]*(1-VendasSem4[[#This Row],[Desconto]])+VendasSem4[[#This Row],[Valor de Entrega]])</f>
        <v>9</v>
      </c>
      <c r="M88" s="6" t="str">
        <f>IF(VendasSem4[[#This Row],[Id da Venda]]=B89,"",SUMIF(VendasSem4[Id da Venda],VendasSem4[[#This Row],[Id da Venda]],VendasSem4[Total]))</f>
        <v/>
      </c>
    </row>
    <row r="89" spans="2:13" x14ac:dyDescent="0.25">
      <c r="B89">
        <v>42</v>
      </c>
      <c r="C89" s="7">
        <v>45189</v>
      </c>
      <c r="D89" t="s">
        <v>34</v>
      </c>
      <c r="E89" t="str">
        <f>IFERROR(VLOOKUP(VendasSem4[[#This Row],[Produto]],cálculos!$I$3:$L$50,4,0),"")</f>
        <v>Kg</v>
      </c>
      <c r="F89">
        <v>3</v>
      </c>
      <c r="G89" s="6">
        <f>IFERROR(VLOOKUP(VendasSem4[[#This Row],[Produto]],cálculos!$I$3:$L$50,3,0),0)</f>
        <v>5.82</v>
      </c>
      <c r="H89" s="6">
        <f>IFERROR(VendasSem4[[#This Row],[Quantidade]]*VendasSem4[[#This Row],[Preço Unitário]],0)</f>
        <v>17.46</v>
      </c>
      <c r="I89" s="11"/>
      <c r="J89" t="s">
        <v>109</v>
      </c>
      <c r="K89" s="6">
        <f>IFERROR(IF(VendasSem4[[#This Row],[Id da Venda]]=B90,0,VLOOKUP(VendasSem4[[#This Row],[Região de Entrega]],cálculos!$B$5:$C$9,2,0)),0)</f>
        <v>0</v>
      </c>
      <c r="L89" s="6">
        <f>(VendasSem4[[#This Row],[Subtotal]]*(1-VendasSem4[[#This Row],[Desconto]])+VendasSem4[[#This Row],[Valor de Entrega]])</f>
        <v>17.46</v>
      </c>
      <c r="M89" s="6" t="str">
        <f>IF(VendasSem4[[#This Row],[Id da Venda]]=B90,"",SUMIF(VendasSem4[Id da Venda],VendasSem4[[#This Row],[Id da Venda]],VendasSem4[Total]))</f>
        <v/>
      </c>
    </row>
    <row r="90" spans="2:13" x14ac:dyDescent="0.25">
      <c r="B90">
        <v>42</v>
      </c>
      <c r="C90" s="7">
        <v>45189</v>
      </c>
      <c r="D90" t="s">
        <v>32</v>
      </c>
      <c r="E90" t="str">
        <f>IFERROR(VLOOKUP(VendasSem4[[#This Row],[Produto]],cálculos!$I$3:$L$50,4,0),"")</f>
        <v>Kg</v>
      </c>
      <c r="F90">
        <v>10</v>
      </c>
      <c r="G90" s="6">
        <f>IFERROR(VLOOKUP(VendasSem4[[#This Row],[Produto]],cálculos!$I$3:$L$50,3,0),0)</f>
        <v>2.4900000000000002</v>
      </c>
      <c r="H90" s="6">
        <f>IFERROR(VendasSem4[[#This Row],[Quantidade]]*VendasSem4[[#This Row],[Preço Unitário]],0)</f>
        <v>24.900000000000002</v>
      </c>
      <c r="I90" s="11"/>
      <c r="J90" t="s">
        <v>109</v>
      </c>
      <c r="K90" s="6">
        <f>IFERROR(IF(VendasSem4[[#This Row],[Id da Venda]]=B91,0,VLOOKUP(VendasSem4[[#This Row],[Região de Entrega]],cálculos!$B$5:$C$9,2,0)),0)</f>
        <v>0</v>
      </c>
      <c r="L90" s="6">
        <f>(VendasSem4[[#This Row],[Subtotal]]*(1-VendasSem4[[#This Row],[Desconto]])+VendasSem4[[#This Row],[Valor de Entrega]])</f>
        <v>24.900000000000002</v>
      </c>
      <c r="M90" s="6" t="str">
        <f>IF(VendasSem4[[#This Row],[Id da Venda]]=B91,"",SUMIF(VendasSem4[Id da Venda],VendasSem4[[#This Row],[Id da Venda]],VendasSem4[Total]))</f>
        <v/>
      </c>
    </row>
    <row r="91" spans="2:13" x14ac:dyDescent="0.25">
      <c r="B91">
        <v>42</v>
      </c>
      <c r="C91" s="7">
        <v>45189</v>
      </c>
      <c r="D91" t="s">
        <v>33</v>
      </c>
      <c r="E91" t="str">
        <f>IFERROR(VLOOKUP(VendasSem4[[#This Row],[Produto]],cálculos!$I$3:$L$50,4,0),"")</f>
        <v>Kg</v>
      </c>
      <c r="F91">
        <v>4</v>
      </c>
      <c r="G91" s="6">
        <f>IFERROR(VLOOKUP(VendasSem4[[#This Row],[Produto]],cálculos!$I$3:$L$50,3,0),0)</f>
        <v>4.28</v>
      </c>
      <c r="H91" s="6">
        <f>IFERROR(VendasSem4[[#This Row],[Quantidade]]*VendasSem4[[#This Row],[Preço Unitário]],0)</f>
        <v>17.12</v>
      </c>
      <c r="I91" s="11"/>
      <c r="J91" t="s">
        <v>109</v>
      </c>
      <c r="K91" s="6">
        <f>IFERROR(IF(VendasSem4[[#This Row],[Id da Venda]]=B92,0,VLOOKUP(VendasSem4[[#This Row],[Região de Entrega]],cálculos!$B$5:$C$9,2,0)),0)</f>
        <v>0</v>
      </c>
      <c r="L91" s="6">
        <f>(VendasSem4[[#This Row],[Subtotal]]*(1-VendasSem4[[#This Row],[Desconto]])+VendasSem4[[#This Row],[Valor de Entrega]])</f>
        <v>17.12</v>
      </c>
      <c r="M91" s="6" t="str">
        <f>IF(VendasSem4[[#This Row],[Id da Venda]]=B92,"",SUMIF(VendasSem4[Id da Venda],VendasSem4[[#This Row],[Id da Venda]],VendasSem4[Total]))</f>
        <v/>
      </c>
    </row>
    <row r="92" spans="2:13" x14ac:dyDescent="0.25">
      <c r="B92">
        <v>42</v>
      </c>
      <c r="C92" s="7">
        <v>45189</v>
      </c>
      <c r="D92" t="s">
        <v>127</v>
      </c>
      <c r="E92" t="str">
        <f>IFERROR(VLOOKUP(VendasSem4[[#This Row],[Produto]],cálculos!$I$3:$L$50,4,0),"")</f>
        <v>Kg</v>
      </c>
      <c r="F92">
        <v>2</v>
      </c>
      <c r="G92" s="6">
        <f>IFERROR(VLOOKUP(VendasSem4[[#This Row],[Produto]],cálculos!$I$3:$L$50,3,0),0)</f>
        <v>6.9</v>
      </c>
      <c r="H92" s="6">
        <f>IFERROR(VendasSem4[[#This Row],[Quantidade]]*VendasSem4[[#This Row],[Preço Unitário]],0)</f>
        <v>13.8</v>
      </c>
      <c r="I92" s="11"/>
      <c r="J92" t="s">
        <v>109</v>
      </c>
      <c r="K92" s="6">
        <f>IFERROR(IF(VendasSem4[[#This Row],[Id da Venda]]=B93,0,VLOOKUP(VendasSem4[[#This Row],[Região de Entrega]],cálculos!$B$5:$C$9,2,0)),0)</f>
        <v>0</v>
      </c>
      <c r="L92" s="6">
        <f>(VendasSem4[[#This Row],[Subtotal]]*(1-VendasSem4[[#This Row],[Desconto]])+VendasSem4[[#This Row],[Valor de Entrega]])</f>
        <v>13.8</v>
      </c>
      <c r="M92" s="6" t="str">
        <f>IF(VendasSem4[[#This Row],[Id da Venda]]=B93,"",SUMIF(VendasSem4[Id da Venda],VendasSem4[[#This Row],[Id da Venda]],VendasSem4[Total]))</f>
        <v/>
      </c>
    </row>
    <row r="93" spans="2:13" x14ac:dyDescent="0.25">
      <c r="B93">
        <v>42</v>
      </c>
      <c r="C93" s="7">
        <v>45189</v>
      </c>
      <c r="D93" t="s">
        <v>42</v>
      </c>
      <c r="E93" t="str">
        <f>IFERROR(VLOOKUP(VendasSem4[[#This Row],[Produto]],cálculos!$I$3:$L$50,4,0),"")</f>
        <v>Kg</v>
      </c>
      <c r="F93">
        <v>2</v>
      </c>
      <c r="G93" s="6">
        <f>IFERROR(VLOOKUP(VendasSem4[[#This Row],[Produto]],cálculos!$I$3:$L$50,3,0),0)</f>
        <v>3.99</v>
      </c>
      <c r="H93" s="6">
        <f>IFERROR(VendasSem4[[#This Row],[Quantidade]]*VendasSem4[[#This Row],[Preço Unitário]],0)</f>
        <v>7.98</v>
      </c>
      <c r="I93" s="11"/>
      <c r="J93" t="s">
        <v>109</v>
      </c>
      <c r="K93" s="6">
        <f>IFERROR(IF(VendasSem4[[#This Row],[Id da Venda]]=B94,0,VLOOKUP(VendasSem4[[#This Row],[Região de Entrega]],cálculos!$B$5:$C$9,2,0)),0)</f>
        <v>0</v>
      </c>
      <c r="L93" s="6">
        <f>(VendasSem4[[#This Row],[Subtotal]]*(1-VendasSem4[[#This Row],[Desconto]])+VendasSem4[[#This Row],[Valor de Entrega]])</f>
        <v>7.98</v>
      </c>
      <c r="M93" s="6" t="str">
        <f>IF(VendasSem4[[#This Row],[Id da Venda]]=B94,"",SUMIF(VendasSem4[Id da Venda],VendasSem4[[#This Row],[Id da Venda]],VendasSem4[Total]))</f>
        <v/>
      </c>
    </row>
    <row r="94" spans="2:13" x14ac:dyDescent="0.25">
      <c r="B94">
        <v>42</v>
      </c>
      <c r="C94" s="7">
        <v>45189</v>
      </c>
      <c r="D94" t="s">
        <v>45</v>
      </c>
      <c r="E94" t="str">
        <f>IFERROR(VLOOKUP(VendasSem4[[#This Row],[Produto]],cálculos!$I$3:$L$50,4,0),"")</f>
        <v>Lata</v>
      </c>
      <c r="F94">
        <v>15</v>
      </c>
      <c r="G94" s="6">
        <f>IFERROR(VLOOKUP(VendasSem4[[#This Row],[Produto]],cálculos!$I$3:$L$50,3,0),0)</f>
        <v>2.19</v>
      </c>
      <c r="H94" s="6">
        <f>IFERROR(VendasSem4[[#This Row],[Quantidade]]*VendasSem4[[#This Row],[Preço Unitário]],0)</f>
        <v>32.85</v>
      </c>
      <c r="I94" s="11"/>
      <c r="J94" t="s">
        <v>109</v>
      </c>
      <c r="K94" s="6">
        <f>IFERROR(IF(VendasSem4[[#This Row],[Id da Venda]]=B95,0,VLOOKUP(VendasSem4[[#This Row],[Região de Entrega]],cálculos!$B$5:$C$9,2,0)),0)</f>
        <v>0</v>
      </c>
      <c r="L94" s="6">
        <f>(VendasSem4[[#This Row],[Subtotal]]*(1-VendasSem4[[#This Row],[Desconto]])+VendasSem4[[#This Row],[Valor de Entrega]])</f>
        <v>32.85</v>
      </c>
      <c r="M94" s="6" t="str">
        <f>IF(VendasSem4[[#This Row],[Id da Venda]]=B95,"",SUMIF(VendasSem4[Id da Venda],VendasSem4[[#This Row],[Id da Venda]],VendasSem4[Total]))</f>
        <v/>
      </c>
    </row>
    <row r="95" spans="2:13" x14ac:dyDescent="0.25">
      <c r="B95">
        <v>42</v>
      </c>
      <c r="C95" s="7">
        <v>45189</v>
      </c>
      <c r="D95" t="s">
        <v>41</v>
      </c>
      <c r="E95" t="str">
        <f>IFERROR(VLOOKUP(VendasSem4[[#This Row],[Produto]],cálculos!$I$3:$L$50,4,0),"")</f>
        <v>Litro</v>
      </c>
      <c r="F95">
        <v>3</v>
      </c>
      <c r="G95" s="6">
        <f>IFERROR(VLOOKUP(VendasSem4[[#This Row],[Produto]],cálculos!$I$3:$L$50,3,0),0)</f>
        <v>3.45</v>
      </c>
      <c r="H95" s="6">
        <f>IFERROR(VendasSem4[[#This Row],[Quantidade]]*VendasSem4[[#This Row],[Preço Unitário]],0)</f>
        <v>10.350000000000001</v>
      </c>
      <c r="I95" s="11"/>
      <c r="J95" t="s">
        <v>109</v>
      </c>
      <c r="K95" s="6">
        <f>IFERROR(IF(VendasSem4[[#This Row],[Id da Venda]]=B96,0,VLOOKUP(VendasSem4[[#This Row],[Região de Entrega]],cálculos!$B$5:$C$9,2,0)),0)</f>
        <v>0</v>
      </c>
      <c r="L95" s="6">
        <f>(VendasSem4[[#This Row],[Subtotal]]*(1-VendasSem4[[#This Row],[Desconto]])+VendasSem4[[#This Row],[Valor de Entrega]])</f>
        <v>10.350000000000001</v>
      </c>
      <c r="M95" s="6">
        <f>IF(VendasSem4[[#This Row],[Id da Venda]]=B96,"",SUMIF(VendasSem4[Id da Venda],VendasSem4[[#This Row],[Id da Venda]],VendasSem4[Total]))</f>
        <v>133.46</v>
      </c>
    </row>
    <row r="96" spans="2:13" x14ac:dyDescent="0.25">
      <c r="B96">
        <v>43</v>
      </c>
      <c r="C96" s="7">
        <v>45189</v>
      </c>
      <c r="D96" t="s">
        <v>72</v>
      </c>
      <c r="E96" t="str">
        <f>IFERROR(VLOOKUP(VendasSem4[[#This Row],[Produto]],cálculos!$I$3:$L$50,4,0),"")</f>
        <v>Litro</v>
      </c>
      <c r="F96">
        <v>100</v>
      </c>
      <c r="G96" s="6">
        <f>IFERROR(VLOOKUP(VendasSem4[[#This Row],[Produto]],cálculos!$I$3:$L$50,3,0),0)</f>
        <v>2.39</v>
      </c>
      <c r="H96" s="6">
        <f>IFERROR(VendasSem4[[#This Row],[Quantidade]]*VendasSem4[[#This Row],[Preço Unitário]],0)</f>
        <v>239</v>
      </c>
      <c r="I96" s="11"/>
      <c r="J96" t="s">
        <v>111</v>
      </c>
      <c r="K96" s="6">
        <f>IFERROR(IF(VendasSem4[[#This Row],[Id da Venda]]=B97,0,VLOOKUP(VendasSem4[[#This Row],[Região de Entrega]],cálculos!$B$5:$C$9,2,0)),0)</f>
        <v>0</v>
      </c>
      <c r="L96" s="6">
        <f>(VendasSem4[[#This Row],[Subtotal]]*(1-VendasSem4[[#This Row],[Desconto]])+VendasSem4[[#This Row],[Valor de Entrega]])</f>
        <v>239</v>
      </c>
      <c r="M96" s="6" t="str">
        <f>IF(VendasSem4[[#This Row],[Id da Venda]]=B97,"",SUMIF(VendasSem4[Id da Venda],VendasSem4[[#This Row],[Id da Venda]],VendasSem4[Total]))</f>
        <v/>
      </c>
    </row>
    <row r="97" spans="2:13" x14ac:dyDescent="0.25">
      <c r="B97">
        <v>43</v>
      </c>
      <c r="C97" s="7">
        <v>45189</v>
      </c>
      <c r="D97" t="s">
        <v>40</v>
      </c>
      <c r="E97" t="str">
        <f>IFERROR(VLOOKUP(VendasSem4[[#This Row],[Produto]],cálculos!$I$3:$L$50,4,0),"")</f>
        <v>Garrafa</v>
      </c>
      <c r="F97">
        <v>50</v>
      </c>
      <c r="G97" s="6">
        <f>IFERROR(VLOOKUP(VendasSem4[[#This Row],[Produto]],cálculos!$I$3:$L$50,3,0),0)</f>
        <v>29.9</v>
      </c>
      <c r="H97" s="6">
        <f>IFERROR(VendasSem4[[#This Row],[Quantidade]]*VendasSem4[[#This Row],[Preço Unitário]],0)</f>
        <v>1495</v>
      </c>
      <c r="I97" s="11"/>
      <c r="J97" t="s">
        <v>111</v>
      </c>
      <c r="K97" s="6">
        <f>IFERROR(IF(VendasSem4[[#This Row],[Id da Venda]]=B98,0,VLOOKUP(VendasSem4[[#This Row],[Região de Entrega]],cálculos!$B$5:$C$9,2,0)),0)</f>
        <v>15</v>
      </c>
      <c r="L97" s="6">
        <f>(VendasSem4[[#This Row],[Subtotal]]*(1-VendasSem4[[#This Row],[Desconto]])+VendasSem4[[#This Row],[Valor de Entrega]])</f>
        <v>1510</v>
      </c>
      <c r="M97" s="6">
        <f>IF(VendasSem4[[#This Row],[Id da Venda]]=B98,"",SUMIF(VendasSem4[Id da Venda],VendasSem4[[#This Row],[Id da Venda]],VendasSem4[Total]))</f>
        <v>1749</v>
      </c>
    </row>
    <row r="98" spans="2:13" x14ac:dyDescent="0.25">
      <c r="B98">
        <v>44</v>
      </c>
      <c r="C98" s="7">
        <v>45189</v>
      </c>
      <c r="D98" t="s">
        <v>32</v>
      </c>
      <c r="E98" t="str">
        <f>IFERROR(VLOOKUP(VendasSem4[[#This Row],[Produto]],cálculos!$I$3:$L$50,4,0),"")</f>
        <v>Kg</v>
      </c>
      <c r="F98">
        <v>15</v>
      </c>
      <c r="G98" s="6">
        <f>IFERROR(VLOOKUP(VendasSem4[[#This Row],[Produto]],cálculos!$I$3:$L$50,3,0),0)</f>
        <v>2.4900000000000002</v>
      </c>
      <c r="H98" s="6">
        <f>IFERROR(VendasSem4[[#This Row],[Quantidade]]*VendasSem4[[#This Row],[Preço Unitário]],0)</f>
        <v>37.35</v>
      </c>
      <c r="I98" s="11"/>
      <c r="J98" t="s">
        <v>108</v>
      </c>
      <c r="K98" s="6">
        <f>IFERROR(IF(VendasSem4[[#This Row],[Id da Venda]]=B99,0,VLOOKUP(VendasSem4[[#This Row],[Região de Entrega]],cálculos!$B$5:$C$9,2,0)),0)</f>
        <v>0</v>
      </c>
      <c r="L98" s="6">
        <f>(VendasSem4[[#This Row],[Subtotal]]*(1-VendasSem4[[#This Row],[Desconto]])+VendasSem4[[#This Row],[Valor de Entrega]])</f>
        <v>37.35</v>
      </c>
      <c r="M98" s="6" t="str">
        <f>IF(VendasSem4[[#This Row],[Id da Venda]]=B99,"",SUMIF(VendasSem4[Id da Venda],VendasSem4[[#This Row],[Id da Venda]],VendasSem4[Total]))</f>
        <v/>
      </c>
    </row>
    <row r="99" spans="2:13" x14ac:dyDescent="0.25">
      <c r="B99">
        <v>44</v>
      </c>
      <c r="C99" s="7">
        <v>45189</v>
      </c>
      <c r="D99" t="s">
        <v>33</v>
      </c>
      <c r="E99" t="str">
        <f>IFERROR(VLOOKUP(VendasSem4[[#This Row],[Produto]],cálculos!$I$3:$L$50,4,0),"")</f>
        <v>Kg</v>
      </c>
      <c r="F99">
        <v>7</v>
      </c>
      <c r="G99" s="6">
        <f>IFERROR(VLOOKUP(VendasSem4[[#This Row],[Produto]],cálculos!$I$3:$L$50,3,0),0)</f>
        <v>4.28</v>
      </c>
      <c r="H99" s="6">
        <f>IFERROR(VendasSem4[[#This Row],[Quantidade]]*VendasSem4[[#This Row],[Preço Unitário]],0)</f>
        <v>29.96</v>
      </c>
      <c r="I99" s="11"/>
      <c r="J99" t="s">
        <v>108</v>
      </c>
      <c r="K99" s="6">
        <f>IFERROR(IF(VendasSem4[[#This Row],[Id da Venda]]=B100,0,VLOOKUP(VendasSem4[[#This Row],[Região de Entrega]],cálculos!$B$5:$C$9,2,0)),0)</f>
        <v>0</v>
      </c>
      <c r="L99" s="6">
        <f>(VendasSem4[[#This Row],[Subtotal]]*(1-VendasSem4[[#This Row],[Desconto]])+VendasSem4[[#This Row],[Valor de Entrega]])</f>
        <v>29.96</v>
      </c>
      <c r="M99" s="6" t="str">
        <f>IF(VendasSem4[[#This Row],[Id da Venda]]=B100,"",SUMIF(VendasSem4[Id da Venda],VendasSem4[[#This Row],[Id da Venda]],VendasSem4[Total]))</f>
        <v/>
      </c>
    </row>
    <row r="100" spans="2:13" x14ac:dyDescent="0.25">
      <c r="B100">
        <v>44</v>
      </c>
      <c r="C100" s="7">
        <v>45189</v>
      </c>
      <c r="D100" t="s">
        <v>42</v>
      </c>
      <c r="E100" t="str">
        <f>IFERROR(VLOOKUP(VendasSem4[[#This Row],[Produto]],cálculos!$I$3:$L$50,4,0),"")</f>
        <v>Kg</v>
      </c>
      <c r="F100">
        <v>3</v>
      </c>
      <c r="G100" s="6">
        <f>IFERROR(VLOOKUP(VendasSem4[[#This Row],[Produto]],cálculos!$I$3:$L$50,3,0),0)</f>
        <v>3.99</v>
      </c>
      <c r="H100" s="6">
        <f>IFERROR(VendasSem4[[#This Row],[Quantidade]]*VendasSem4[[#This Row],[Preço Unitário]],0)</f>
        <v>11.97</v>
      </c>
      <c r="I100" s="11"/>
      <c r="J100" t="s">
        <v>108</v>
      </c>
      <c r="K100" s="6">
        <f>IFERROR(IF(VendasSem4[[#This Row],[Id da Venda]]=B101,0,VLOOKUP(VendasSem4[[#This Row],[Região de Entrega]],cálculos!$B$5:$C$9,2,0)),0)</f>
        <v>0</v>
      </c>
      <c r="L100" s="6">
        <f>(VendasSem4[[#This Row],[Subtotal]]*(1-VendasSem4[[#This Row],[Desconto]])+VendasSem4[[#This Row],[Valor de Entrega]])</f>
        <v>11.97</v>
      </c>
      <c r="M100" s="6" t="str">
        <f>IF(VendasSem4[[#This Row],[Id da Venda]]=B101,"",SUMIF(VendasSem4[Id da Venda],VendasSem4[[#This Row],[Id da Venda]],VendasSem4[Total]))</f>
        <v/>
      </c>
    </row>
    <row r="101" spans="2:13" x14ac:dyDescent="0.25">
      <c r="B101">
        <v>44</v>
      </c>
      <c r="C101" s="7">
        <v>45189</v>
      </c>
      <c r="D101" t="s">
        <v>127</v>
      </c>
      <c r="E101" t="str">
        <f>IFERROR(VLOOKUP(VendasSem4[[#This Row],[Produto]],cálculos!$I$3:$L$50,4,0),"")</f>
        <v>Kg</v>
      </c>
      <c r="F101">
        <v>2</v>
      </c>
      <c r="G101" s="6">
        <f>IFERROR(VLOOKUP(VendasSem4[[#This Row],[Produto]],cálculos!$I$3:$L$50,3,0),0)</f>
        <v>6.9</v>
      </c>
      <c r="H101" s="6">
        <f>IFERROR(VendasSem4[[#This Row],[Quantidade]]*VendasSem4[[#This Row],[Preço Unitário]],0)</f>
        <v>13.8</v>
      </c>
      <c r="I101" s="11"/>
      <c r="J101" t="s">
        <v>108</v>
      </c>
      <c r="K101" s="6">
        <f>IFERROR(IF(VendasSem4[[#This Row],[Id da Venda]]=B102,0,VLOOKUP(VendasSem4[[#This Row],[Região de Entrega]],cálculos!$B$5:$C$9,2,0)),0)</f>
        <v>0</v>
      </c>
      <c r="L101" s="6">
        <f>(VendasSem4[[#This Row],[Subtotal]]*(1-VendasSem4[[#This Row],[Desconto]])+VendasSem4[[#This Row],[Valor de Entrega]])</f>
        <v>13.8</v>
      </c>
      <c r="M101" s="6" t="str">
        <f>IF(VendasSem4[[#This Row],[Id da Venda]]=B102,"",SUMIF(VendasSem4[Id da Venda],VendasSem4[[#This Row],[Id da Venda]],VendasSem4[Total]))</f>
        <v/>
      </c>
    </row>
    <row r="102" spans="2:13" x14ac:dyDescent="0.25">
      <c r="B102">
        <v>44</v>
      </c>
      <c r="C102" s="7">
        <v>45189</v>
      </c>
      <c r="D102" t="s">
        <v>44</v>
      </c>
      <c r="E102" t="str">
        <f>IFERROR(VLOOKUP(VendasSem4[[#This Row],[Produto]],cálculos!$I$3:$L$50,4,0),"")</f>
        <v>Pacote</v>
      </c>
      <c r="F102">
        <v>1</v>
      </c>
      <c r="G102" s="6">
        <f>IFERROR(VLOOKUP(VendasSem4[[#This Row],[Produto]],cálculos!$I$3:$L$50,3,0),0)</f>
        <v>1.1499999999999999</v>
      </c>
      <c r="H102" s="6">
        <f>IFERROR(VendasSem4[[#This Row],[Quantidade]]*VendasSem4[[#This Row],[Preço Unitário]],0)</f>
        <v>1.1499999999999999</v>
      </c>
      <c r="I102" s="11"/>
      <c r="J102" t="s">
        <v>108</v>
      </c>
      <c r="K102" s="6">
        <f>IFERROR(IF(VendasSem4[[#This Row],[Id da Venda]]=B103,0,VLOOKUP(VendasSem4[[#This Row],[Região de Entrega]],cálculos!$B$5:$C$9,2,0)),0)</f>
        <v>0</v>
      </c>
      <c r="L102" s="6">
        <f>(VendasSem4[[#This Row],[Subtotal]]*(1-VendasSem4[[#This Row],[Desconto]])+VendasSem4[[#This Row],[Valor de Entrega]])</f>
        <v>1.1499999999999999</v>
      </c>
      <c r="M102" s="6" t="str">
        <f>IF(VendasSem4[[#This Row],[Id da Venda]]=B103,"",SUMIF(VendasSem4[Id da Venda],VendasSem4[[#This Row],[Id da Venda]],VendasSem4[Total]))</f>
        <v/>
      </c>
    </row>
    <row r="103" spans="2:13" x14ac:dyDescent="0.25">
      <c r="B103">
        <v>44</v>
      </c>
      <c r="C103" s="7">
        <v>45189</v>
      </c>
      <c r="D103" t="s">
        <v>131</v>
      </c>
      <c r="E103" t="str">
        <f>IFERROR(VLOOKUP(VendasSem4[[#This Row],[Produto]],cálculos!$I$3:$L$50,4,0),"")</f>
        <v>Kg</v>
      </c>
      <c r="F103">
        <v>2.5</v>
      </c>
      <c r="G103" s="6">
        <f>IFERROR(VLOOKUP(VendasSem4[[#This Row],[Produto]],cálculos!$I$3:$L$50,3,0),0)</f>
        <v>3</v>
      </c>
      <c r="H103" s="6">
        <f>IFERROR(VendasSem4[[#This Row],[Quantidade]]*VendasSem4[[#This Row],[Preço Unitário]],0)</f>
        <v>7.5</v>
      </c>
      <c r="I103" s="11"/>
      <c r="J103" t="s">
        <v>108</v>
      </c>
      <c r="K103" s="6">
        <f>IFERROR(IF(VendasSem4[[#This Row],[Id da Venda]]=B104,0,VLOOKUP(VendasSem4[[#This Row],[Região de Entrega]],cálculos!$B$5:$C$9,2,0)),0)</f>
        <v>0</v>
      </c>
      <c r="L103" s="6">
        <f>(VendasSem4[[#This Row],[Subtotal]]*(1-VendasSem4[[#This Row],[Desconto]])+VendasSem4[[#This Row],[Valor de Entrega]])</f>
        <v>7.5</v>
      </c>
      <c r="M103" s="6" t="str">
        <f>IF(VendasSem4[[#This Row],[Id da Venda]]=B104,"",SUMIF(VendasSem4[Id da Venda],VendasSem4[[#This Row],[Id da Venda]],VendasSem4[Total]))</f>
        <v/>
      </c>
    </row>
    <row r="104" spans="2:13" x14ac:dyDescent="0.25">
      <c r="B104">
        <v>44</v>
      </c>
      <c r="C104" s="7">
        <v>45189</v>
      </c>
      <c r="D104" t="s">
        <v>119</v>
      </c>
      <c r="E104" t="str">
        <f>IFERROR(VLOOKUP(VendasSem4[[#This Row],[Produto]],cálculos!$I$3:$L$50,4,0),"")</f>
        <v>Kg</v>
      </c>
      <c r="F104">
        <v>1.8</v>
      </c>
      <c r="G104" s="6">
        <f>IFERROR(VLOOKUP(VendasSem4[[#This Row],[Produto]],cálculos!$I$3:$L$50,3,0),0)</f>
        <v>6.8</v>
      </c>
      <c r="H104" s="6">
        <f>IFERROR(VendasSem4[[#This Row],[Quantidade]]*VendasSem4[[#This Row],[Preço Unitário]],0)</f>
        <v>12.24</v>
      </c>
      <c r="I104" s="11"/>
      <c r="J104" t="s">
        <v>108</v>
      </c>
      <c r="K104" s="6">
        <f>IFERROR(IF(VendasSem4[[#This Row],[Id da Venda]]=B105,0,VLOOKUP(VendasSem4[[#This Row],[Região de Entrega]],cálculos!$B$5:$C$9,2,0)),0)</f>
        <v>0</v>
      </c>
      <c r="L104" s="6">
        <f>(VendasSem4[[#This Row],[Subtotal]]*(1-VendasSem4[[#This Row],[Desconto]])+VendasSem4[[#This Row],[Valor de Entrega]])</f>
        <v>12.24</v>
      </c>
      <c r="M104" s="6" t="str">
        <f>IF(VendasSem4[[#This Row],[Id da Venda]]=B105,"",SUMIF(VendasSem4[Id da Venda],VendasSem4[[#This Row],[Id da Venda]],VendasSem4[Total]))</f>
        <v/>
      </c>
    </row>
    <row r="105" spans="2:13" x14ac:dyDescent="0.25">
      <c r="B105">
        <v>44</v>
      </c>
      <c r="C105" s="7">
        <v>45189</v>
      </c>
      <c r="D105" t="s">
        <v>122</v>
      </c>
      <c r="E105" t="str">
        <f>IFERROR(VLOOKUP(VendasSem4[[#This Row],[Produto]],cálculos!$I$3:$L$50,4,0),"")</f>
        <v>Kg</v>
      </c>
      <c r="F105">
        <v>3</v>
      </c>
      <c r="G105" s="6">
        <f>IFERROR(VLOOKUP(VendasSem4[[#This Row],[Produto]],cálculos!$I$3:$L$50,3,0),0)</f>
        <v>7</v>
      </c>
      <c r="H105" s="6">
        <f>IFERROR(VendasSem4[[#This Row],[Quantidade]]*VendasSem4[[#This Row],[Preço Unitário]],0)</f>
        <v>21</v>
      </c>
      <c r="I105" s="11"/>
      <c r="J105" t="s">
        <v>108</v>
      </c>
      <c r="K105" s="6">
        <f>IFERROR(IF(VendasSem4[[#This Row],[Id da Venda]]=B106,0,VLOOKUP(VendasSem4[[#This Row],[Região de Entrega]],cálculos!$B$5:$C$9,2,0)),0)</f>
        <v>0</v>
      </c>
      <c r="L105" s="6">
        <f>(VendasSem4[[#This Row],[Subtotal]]*(1-VendasSem4[[#This Row],[Desconto]])+VendasSem4[[#This Row],[Valor de Entrega]])</f>
        <v>21</v>
      </c>
      <c r="M105" s="6" t="str">
        <f>IF(VendasSem4[[#This Row],[Id da Venda]]=B106,"",SUMIF(VendasSem4[Id da Venda],VendasSem4[[#This Row],[Id da Venda]],VendasSem4[Total]))</f>
        <v/>
      </c>
    </row>
    <row r="106" spans="2:13" x14ac:dyDescent="0.25">
      <c r="B106">
        <v>44</v>
      </c>
      <c r="C106" s="7">
        <v>45189</v>
      </c>
      <c r="D106" t="s">
        <v>120</v>
      </c>
      <c r="E106" t="str">
        <f>IFERROR(VLOOKUP(VendasSem4[[#This Row],[Produto]],cálculos!$I$3:$L$50,4,0),"")</f>
        <v>Kg</v>
      </c>
      <c r="F106">
        <v>2.7</v>
      </c>
      <c r="G106" s="6">
        <f>IFERROR(VLOOKUP(VendasSem4[[#This Row],[Produto]],cálculos!$I$3:$L$50,3,0),0)</f>
        <v>4.5</v>
      </c>
      <c r="H106" s="6">
        <f>IFERROR(VendasSem4[[#This Row],[Quantidade]]*VendasSem4[[#This Row],[Preço Unitário]],0)</f>
        <v>12.15</v>
      </c>
      <c r="I106" s="11"/>
      <c r="J106" t="s">
        <v>108</v>
      </c>
      <c r="K106" s="6">
        <f>IFERROR(IF(VendasSem4[[#This Row],[Id da Venda]]=B107,0,VLOOKUP(VendasSem4[[#This Row],[Região de Entrega]],cálculos!$B$5:$C$9,2,0)),0)</f>
        <v>0</v>
      </c>
      <c r="L106" s="6">
        <f>(VendasSem4[[#This Row],[Subtotal]]*(1-VendasSem4[[#This Row],[Desconto]])+VendasSem4[[#This Row],[Valor de Entrega]])</f>
        <v>12.15</v>
      </c>
      <c r="M106" s="6" t="str">
        <f>IF(VendasSem4[[#This Row],[Id da Venda]]=B107,"",SUMIF(VendasSem4[Id da Venda],VendasSem4[[#This Row],[Id da Venda]],VendasSem4[Total]))</f>
        <v/>
      </c>
    </row>
    <row r="107" spans="2:13" x14ac:dyDescent="0.25">
      <c r="B107">
        <v>44</v>
      </c>
      <c r="C107" s="7">
        <v>45189</v>
      </c>
      <c r="D107" t="s">
        <v>129</v>
      </c>
      <c r="E107" t="str">
        <f>IFERROR(VLOOKUP(VendasSem4[[#This Row],[Produto]],cálculos!$I$3:$L$50,4,0),"")</f>
        <v>Unidade</v>
      </c>
      <c r="F107">
        <v>1</v>
      </c>
      <c r="G107" s="6">
        <f>IFERROR(VLOOKUP(VendasSem4[[#This Row],[Produto]],cálculos!$I$3:$L$50,3,0),0)</f>
        <v>18.899999999999999</v>
      </c>
      <c r="H107" s="6">
        <f>IFERROR(VendasSem4[[#This Row],[Quantidade]]*VendasSem4[[#This Row],[Preço Unitário]],0)</f>
        <v>18.899999999999999</v>
      </c>
      <c r="I107" s="11"/>
      <c r="J107" t="s">
        <v>108</v>
      </c>
      <c r="K107" s="6">
        <f>IFERROR(IF(VendasSem4[[#This Row],[Id da Venda]]=B108,0,VLOOKUP(VendasSem4[[#This Row],[Região de Entrega]],cálculos!$B$5:$C$9,2,0)),0)</f>
        <v>0</v>
      </c>
      <c r="L107" s="6">
        <f>(VendasSem4[[#This Row],[Subtotal]]*(1-VendasSem4[[#This Row],[Desconto]])+VendasSem4[[#This Row],[Valor de Entrega]])</f>
        <v>18.899999999999999</v>
      </c>
      <c r="M107" s="6" t="str">
        <f>IF(VendasSem4[[#This Row],[Id da Venda]]=B108,"",SUMIF(VendasSem4[Id da Venda],VendasSem4[[#This Row],[Id da Venda]],VendasSem4[Total]))</f>
        <v/>
      </c>
    </row>
    <row r="108" spans="2:13" x14ac:dyDescent="0.25">
      <c r="B108">
        <v>44</v>
      </c>
      <c r="C108" s="7">
        <v>45189</v>
      </c>
      <c r="D108" t="s">
        <v>124</v>
      </c>
      <c r="E108" t="str">
        <f>IFERROR(VLOOKUP(VendasSem4[[#This Row],[Produto]],cálculos!$I$3:$L$50,4,0),"")</f>
        <v>Kg</v>
      </c>
      <c r="F108">
        <v>2</v>
      </c>
      <c r="G108" s="6">
        <f>IFERROR(VLOOKUP(VendasSem4[[#This Row],[Produto]],cálculos!$I$3:$L$50,3,0),0)</f>
        <v>7.8</v>
      </c>
      <c r="H108" s="6">
        <f>IFERROR(VendasSem4[[#This Row],[Quantidade]]*VendasSem4[[#This Row],[Preço Unitário]],0)</f>
        <v>15.6</v>
      </c>
      <c r="I108" s="11"/>
      <c r="J108" t="s">
        <v>108</v>
      </c>
      <c r="K108" s="6">
        <f>IFERROR(IF(VendasSem4[[#This Row],[Id da Venda]]=B109,0,VLOOKUP(VendasSem4[[#This Row],[Região de Entrega]],cálculos!$B$5:$C$9,2,0)),0)</f>
        <v>0</v>
      </c>
      <c r="L108" s="6">
        <f>(VendasSem4[[#This Row],[Subtotal]]*(1-VendasSem4[[#This Row],[Desconto]])+VendasSem4[[#This Row],[Valor de Entrega]])</f>
        <v>15.6</v>
      </c>
      <c r="M108" s="6" t="str">
        <f>IF(VendasSem4[[#This Row],[Id da Venda]]=B109,"",SUMIF(VendasSem4[Id da Venda],VendasSem4[[#This Row],[Id da Venda]],VendasSem4[Total]))</f>
        <v/>
      </c>
    </row>
    <row r="109" spans="2:13" x14ac:dyDescent="0.25">
      <c r="B109">
        <v>44</v>
      </c>
      <c r="C109" s="7">
        <v>45189</v>
      </c>
      <c r="D109" t="s">
        <v>39</v>
      </c>
      <c r="E109" t="str">
        <f>IFERROR(VLOOKUP(VendasSem4[[#This Row],[Produto]],cálculos!$I$3:$L$50,4,0),"")</f>
        <v>Kg</v>
      </c>
      <c r="F109">
        <v>1</v>
      </c>
      <c r="G109" s="6">
        <f>IFERROR(VLOOKUP(VendasSem4[[#This Row],[Produto]],cálculos!$I$3:$L$50,3,0),0)</f>
        <v>25.9</v>
      </c>
      <c r="H109" s="6">
        <f>IFERROR(VendasSem4[[#This Row],[Quantidade]]*VendasSem4[[#This Row],[Preço Unitário]],0)</f>
        <v>25.9</v>
      </c>
      <c r="I109" s="11"/>
      <c r="J109" t="s">
        <v>108</v>
      </c>
      <c r="K109" s="6">
        <f>IFERROR(IF(VendasSem4[[#This Row],[Id da Venda]]=B110,0,VLOOKUP(VendasSem4[[#This Row],[Região de Entrega]],cálculos!$B$5:$C$9,2,0)),0)</f>
        <v>0</v>
      </c>
      <c r="L109" s="6">
        <f>(VendasSem4[[#This Row],[Subtotal]]*(1-VendasSem4[[#This Row],[Desconto]])+VendasSem4[[#This Row],[Valor de Entrega]])</f>
        <v>25.9</v>
      </c>
      <c r="M109" s="6" t="str">
        <f>IF(VendasSem4[[#This Row],[Id da Venda]]=B110,"",SUMIF(VendasSem4[Id da Venda],VendasSem4[[#This Row],[Id da Venda]],VendasSem4[Total]))</f>
        <v/>
      </c>
    </row>
    <row r="110" spans="2:13" x14ac:dyDescent="0.25">
      <c r="B110">
        <v>44</v>
      </c>
      <c r="C110" s="7">
        <v>45189</v>
      </c>
      <c r="D110" t="s">
        <v>72</v>
      </c>
      <c r="E110" t="str">
        <f>IFERROR(VLOOKUP(VendasSem4[[#This Row],[Produto]],cálculos!$I$3:$L$50,4,0),"")</f>
        <v>Litro</v>
      </c>
      <c r="F110">
        <v>5</v>
      </c>
      <c r="G110" s="6">
        <f>IFERROR(VLOOKUP(VendasSem4[[#This Row],[Produto]],cálculos!$I$3:$L$50,3,0),0)</f>
        <v>2.39</v>
      </c>
      <c r="H110" s="6">
        <f>IFERROR(VendasSem4[[#This Row],[Quantidade]]*VendasSem4[[#This Row],[Preço Unitário]],0)</f>
        <v>11.950000000000001</v>
      </c>
      <c r="I110" s="11"/>
      <c r="J110" t="s">
        <v>108</v>
      </c>
      <c r="K110" s="6">
        <f>IFERROR(IF(VendasSem4[[#This Row],[Id da Venda]]=B111,0,VLOOKUP(VendasSem4[[#This Row],[Região de Entrega]],cálculos!$B$5:$C$9,2,0)),0)</f>
        <v>0</v>
      </c>
      <c r="L110" s="6">
        <f>(VendasSem4[[#This Row],[Subtotal]]*(1-VendasSem4[[#This Row],[Desconto]])+VendasSem4[[#This Row],[Valor de Entrega]])</f>
        <v>11.950000000000001</v>
      </c>
      <c r="M110" s="6" t="str">
        <f>IF(VendasSem4[[#This Row],[Id da Venda]]=B111,"",SUMIF(VendasSem4[Id da Venda],VendasSem4[[#This Row],[Id da Venda]],VendasSem4[Total]))</f>
        <v/>
      </c>
    </row>
    <row r="111" spans="2:13" x14ac:dyDescent="0.25">
      <c r="B111">
        <v>44</v>
      </c>
      <c r="C111" s="7">
        <v>45189</v>
      </c>
      <c r="D111" t="s">
        <v>126</v>
      </c>
      <c r="E111" t="str">
        <f>IFERROR(VLOOKUP(VendasSem4[[#This Row],[Produto]],cálculos!$I$3:$L$50,4,0),"")</f>
        <v>Unidade</v>
      </c>
      <c r="F111">
        <v>1</v>
      </c>
      <c r="G111" s="6">
        <f>IFERROR(VLOOKUP(VendasSem4[[#This Row],[Produto]],cálculos!$I$3:$L$50,3,0),0)</f>
        <v>7</v>
      </c>
      <c r="H111" s="6">
        <f>IFERROR(VendasSem4[[#This Row],[Quantidade]]*VendasSem4[[#This Row],[Preço Unitário]],0)</f>
        <v>7</v>
      </c>
      <c r="I111" s="11"/>
      <c r="J111" t="s">
        <v>108</v>
      </c>
      <c r="K111" s="6">
        <f>IFERROR(IF(VendasSem4[[#This Row],[Id da Venda]]=B112,0,VLOOKUP(VendasSem4[[#This Row],[Região de Entrega]],cálculos!$B$5:$C$9,2,0)),0)</f>
        <v>0</v>
      </c>
      <c r="L111" s="6">
        <f>(VendasSem4[[#This Row],[Subtotal]]*(1-VendasSem4[[#This Row],[Desconto]])+VendasSem4[[#This Row],[Valor de Entrega]])</f>
        <v>7</v>
      </c>
      <c r="M111" s="6" t="str">
        <f>IF(VendasSem4[[#This Row],[Id da Venda]]=B112,"",SUMIF(VendasSem4[Id da Venda],VendasSem4[[#This Row],[Id da Venda]],VendasSem4[Total]))</f>
        <v/>
      </c>
    </row>
    <row r="112" spans="2:13" x14ac:dyDescent="0.25">
      <c r="B112">
        <v>44</v>
      </c>
      <c r="C112" s="7">
        <v>45189</v>
      </c>
      <c r="D112" t="s">
        <v>132</v>
      </c>
      <c r="E112" t="str">
        <f>IFERROR(VLOOKUP(VendasSem4[[#This Row],[Produto]],cálculos!$I$3:$L$50,4,0),"")</f>
        <v>Kg</v>
      </c>
      <c r="F112">
        <v>2</v>
      </c>
      <c r="G112" s="6">
        <f>IFERROR(VLOOKUP(VendasSem4[[#This Row],[Produto]],cálculos!$I$3:$L$50,3,0),0)</f>
        <v>2.9</v>
      </c>
      <c r="H112" s="6">
        <f>IFERROR(VendasSem4[[#This Row],[Quantidade]]*VendasSem4[[#This Row],[Preço Unitário]],0)</f>
        <v>5.8</v>
      </c>
      <c r="I112" s="11"/>
      <c r="J112" t="s">
        <v>108</v>
      </c>
      <c r="K112" s="6">
        <f>IFERROR(IF(VendasSem4[[#This Row],[Id da Venda]]=B113,0,VLOOKUP(VendasSem4[[#This Row],[Região de Entrega]],cálculos!$B$5:$C$9,2,0)),0)</f>
        <v>0</v>
      </c>
      <c r="L112" s="6">
        <f>(VendasSem4[[#This Row],[Subtotal]]*(1-VendasSem4[[#This Row],[Desconto]])+VendasSem4[[#This Row],[Valor de Entrega]])</f>
        <v>5.8</v>
      </c>
      <c r="M112" s="6" t="str">
        <f>IF(VendasSem4[[#This Row],[Id da Venda]]=B113,"",SUMIF(VendasSem4[Id da Venda],VendasSem4[[#This Row],[Id da Venda]],VendasSem4[Total]))</f>
        <v/>
      </c>
    </row>
    <row r="113" spans="2:13" x14ac:dyDescent="0.25">
      <c r="B113">
        <v>44</v>
      </c>
      <c r="C113" s="7">
        <v>45189</v>
      </c>
      <c r="D113" t="s">
        <v>34</v>
      </c>
      <c r="E113" t="str">
        <f>IFERROR(VLOOKUP(VendasSem4[[#This Row],[Produto]],cálculos!$I$3:$L$50,4,0),"")</f>
        <v>Kg</v>
      </c>
      <c r="F113">
        <v>5.5</v>
      </c>
      <c r="G113" s="6">
        <f>IFERROR(VLOOKUP(VendasSem4[[#This Row],[Produto]],cálculos!$I$3:$L$50,3,0),0)</f>
        <v>5.82</v>
      </c>
      <c r="H113" s="6">
        <f>IFERROR(VendasSem4[[#This Row],[Quantidade]]*VendasSem4[[#This Row],[Preço Unitário]],0)</f>
        <v>32.010000000000005</v>
      </c>
      <c r="I113" s="11"/>
      <c r="J113" t="s">
        <v>108</v>
      </c>
      <c r="K113" s="6">
        <f>IFERROR(IF(VendasSem4[[#This Row],[Id da Venda]]=B114,0,VLOOKUP(VendasSem4[[#This Row],[Região de Entrega]],cálculos!$B$5:$C$9,2,0)),0)</f>
        <v>0</v>
      </c>
      <c r="L113" s="6">
        <f>(VendasSem4[[#This Row],[Subtotal]]*(1-VendasSem4[[#This Row],[Desconto]])+VendasSem4[[#This Row],[Valor de Entrega]])</f>
        <v>32.010000000000005</v>
      </c>
      <c r="M113" s="6" t="str">
        <f>IF(VendasSem4[[#This Row],[Id da Venda]]=B114,"",SUMIF(VendasSem4[Id da Venda],VendasSem4[[#This Row],[Id da Venda]],VendasSem4[Total]))</f>
        <v/>
      </c>
    </row>
    <row r="114" spans="2:13" x14ac:dyDescent="0.25">
      <c r="B114">
        <v>44</v>
      </c>
      <c r="C114" s="7">
        <v>45189</v>
      </c>
      <c r="D114" t="s">
        <v>137</v>
      </c>
      <c r="E114" t="str">
        <f>IFERROR(VLOOKUP(VendasSem4[[#This Row],[Produto]],cálculos!$I$3:$L$50,4,0),"")</f>
        <v>Kg</v>
      </c>
      <c r="F114">
        <v>1</v>
      </c>
      <c r="G114" s="6">
        <f>IFERROR(VLOOKUP(VendasSem4[[#This Row],[Produto]],cálculos!$I$3:$L$50,3,0),0)</f>
        <v>7</v>
      </c>
      <c r="H114" s="6">
        <f>IFERROR(VendasSem4[[#This Row],[Quantidade]]*VendasSem4[[#This Row],[Preço Unitário]],0)</f>
        <v>7</v>
      </c>
      <c r="I114" s="11"/>
      <c r="J114" t="s">
        <v>108</v>
      </c>
      <c r="K114" s="6">
        <f>IFERROR(IF(VendasSem4[[#This Row],[Id da Venda]]=B115,0,VLOOKUP(VendasSem4[[#This Row],[Região de Entrega]],cálculos!$B$5:$C$9,2,0)),0)</f>
        <v>0</v>
      </c>
      <c r="L114" s="6">
        <f>(VendasSem4[[#This Row],[Subtotal]]*(1-VendasSem4[[#This Row],[Desconto]])+VendasSem4[[#This Row],[Valor de Entrega]])</f>
        <v>7</v>
      </c>
      <c r="M114" s="6" t="str">
        <f>IF(VendasSem4[[#This Row],[Id da Venda]]=B115,"",SUMIF(VendasSem4[Id da Venda],VendasSem4[[#This Row],[Id da Venda]],VendasSem4[Total]))</f>
        <v/>
      </c>
    </row>
    <row r="115" spans="2:13" x14ac:dyDescent="0.25">
      <c r="B115">
        <v>44</v>
      </c>
      <c r="C115" s="7">
        <v>45189</v>
      </c>
      <c r="D115" t="s">
        <v>123</v>
      </c>
      <c r="E115" t="str">
        <f>IFERROR(VLOOKUP(VendasSem4[[#This Row],[Produto]],cálculos!$I$3:$L$50,4,0),"")</f>
        <v>Kg</v>
      </c>
      <c r="F115">
        <v>0.8</v>
      </c>
      <c r="G115" s="6">
        <f>IFERROR(VLOOKUP(VendasSem4[[#This Row],[Produto]],cálculos!$I$3:$L$50,3,0),0)</f>
        <v>8</v>
      </c>
      <c r="H115" s="6">
        <f>IFERROR(VendasSem4[[#This Row],[Quantidade]]*VendasSem4[[#This Row],[Preço Unitário]],0)</f>
        <v>6.4</v>
      </c>
      <c r="I115" s="11"/>
      <c r="J115" t="s">
        <v>108</v>
      </c>
      <c r="K115" s="6">
        <f>IFERROR(IF(VendasSem4[[#This Row],[Id da Venda]]=B116,0,VLOOKUP(VendasSem4[[#This Row],[Região de Entrega]],cálculos!$B$5:$C$9,2,0)),0)</f>
        <v>0</v>
      </c>
      <c r="L115" s="6">
        <f>(VendasSem4[[#This Row],[Subtotal]]*(1-VendasSem4[[#This Row],[Desconto]])+VendasSem4[[#This Row],[Valor de Entrega]])</f>
        <v>6.4</v>
      </c>
      <c r="M115" s="6" t="str">
        <f>IF(VendasSem4[[#This Row],[Id da Venda]]=B116,"",SUMIF(VendasSem4[Id da Venda],VendasSem4[[#This Row],[Id da Venda]],VendasSem4[Total]))</f>
        <v/>
      </c>
    </row>
    <row r="116" spans="2:13" x14ac:dyDescent="0.25">
      <c r="B116">
        <v>44</v>
      </c>
      <c r="C116" s="7">
        <v>45189</v>
      </c>
      <c r="D116" t="s">
        <v>43</v>
      </c>
      <c r="E116" t="str">
        <f>IFERROR(VLOOKUP(VendasSem4[[#This Row],[Produto]],cálculos!$I$3:$L$50,4,0),"")</f>
        <v>Kg</v>
      </c>
      <c r="F116">
        <v>2.8</v>
      </c>
      <c r="G116" s="6">
        <f>IFERROR(VLOOKUP(VendasSem4[[#This Row],[Produto]],cálculos!$I$3:$L$50,3,0),0)</f>
        <v>9.58</v>
      </c>
      <c r="H116" s="6">
        <f>IFERROR(VendasSem4[[#This Row],[Quantidade]]*VendasSem4[[#This Row],[Preço Unitário]],0)</f>
        <v>26.823999999999998</v>
      </c>
      <c r="I116" s="11"/>
      <c r="J116" t="s">
        <v>108</v>
      </c>
      <c r="K116" s="6">
        <f>IFERROR(IF(VendasSem4[[#This Row],[Id da Venda]]=B117,0,VLOOKUP(VendasSem4[[#This Row],[Região de Entrega]],cálculos!$B$5:$C$9,2,0)),0)</f>
        <v>10</v>
      </c>
      <c r="L116" s="6">
        <f>(VendasSem4[[#This Row],[Subtotal]]*(1-VendasSem4[[#This Row],[Desconto]])+VendasSem4[[#This Row],[Valor de Entrega]])</f>
        <v>36.823999999999998</v>
      </c>
      <c r="M116" s="6">
        <f>IF(VendasSem4[[#This Row],[Id da Venda]]=B117,"",SUMIF(VendasSem4[Id da Venda],VendasSem4[[#This Row],[Id da Venda]],VendasSem4[Total]))</f>
        <v>314.50400000000002</v>
      </c>
    </row>
    <row r="117" spans="2:13" x14ac:dyDescent="0.25">
      <c r="B117">
        <v>45</v>
      </c>
      <c r="C117" s="7">
        <v>45189</v>
      </c>
      <c r="D117" t="s">
        <v>120</v>
      </c>
      <c r="E117" t="str">
        <f>IFERROR(VLOOKUP(VendasSem4[[#This Row],[Produto]],cálculos!$I$3:$L$50,4,0),"")</f>
        <v>Kg</v>
      </c>
      <c r="F117">
        <v>2</v>
      </c>
      <c r="G117" s="6">
        <f>IFERROR(VLOOKUP(VendasSem4[[#This Row],[Produto]],cálculos!$I$3:$L$50,3,0),0)</f>
        <v>4.5</v>
      </c>
      <c r="H117" s="6">
        <f>IFERROR(VendasSem4[[#This Row],[Quantidade]]*VendasSem4[[#This Row],[Preço Unitário]],0)</f>
        <v>9</v>
      </c>
      <c r="I117" s="11"/>
      <c r="J117" t="s">
        <v>109</v>
      </c>
      <c r="K117" s="6">
        <f>IFERROR(IF(VendasSem4[[#This Row],[Id da Venda]]=B118,0,VLOOKUP(VendasSem4[[#This Row],[Região de Entrega]],cálculos!$B$5:$C$9,2,0)),0)</f>
        <v>0</v>
      </c>
      <c r="L117" s="6">
        <f>(VendasSem4[[#This Row],[Subtotal]]*(1-VendasSem4[[#This Row],[Desconto]])+VendasSem4[[#This Row],[Valor de Entrega]])</f>
        <v>9</v>
      </c>
      <c r="M117" s="6" t="str">
        <f>IF(VendasSem4[[#This Row],[Id da Venda]]=B118,"",SUMIF(VendasSem4[Id da Venda],VendasSem4[[#This Row],[Id da Venda]],VendasSem4[Total]))</f>
        <v/>
      </c>
    </row>
    <row r="118" spans="2:13" x14ac:dyDescent="0.25">
      <c r="B118">
        <v>45</v>
      </c>
      <c r="C118" s="7">
        <v>45189</v>
      </c>
      <c r="D118" t="s">
        <v>66</v>
      </c>
      <c r="E118" t="str">
        <f>IFERROR(VLOOKUP(VendasSem4[[#This Row],[Produto]],cálculos!$I$3:$L$50,4,0),"")</f>
        <v>Litro</v>
      </c>
      <c r="F118">
        <v>10</v>
      </c>
      <c r="G118" s="6">
        <f>IFERROR(VLOOKUP(VendasSem4[[#This Row],[Produto]],cálculos!$I$3:$L$50,3,0),0)</f>
        <v>1.49</v>
      </c>
      <c r="H118" s="6">
        <f>IFERROR(VendasSem4[[#This Row],[Quantidade]]*VendasSem4[[#This Row],[Preço Unitário]],0)</f>
        <v>14.9</v>
      </c>
      <c r="I118" s="11"/>
      <c r="J118" t="s">
        <v>109</v>
      </c>
      <c r="K118" s="6">
        <f>IFERROR(IF(VendasSem4[[#This Row],[Id da Venda]]=B119,0,VLOOKUP(VendasSem4[[#This Row],[Região de Entrega]],cálculos!$B$5:$C$9,2,0)),0)</f>
        <v>0</v>
      </c>
      <c r="L118" s="6">
        <f>(VendasSem4[[#This Row],[Subtotal]]*(1-VendasSem4[[#This Row],[Desconto]])+VendasSem4[[#This Row],[Valor de Entrega]])</f>
        <v>14.9</v>
      </c>
      <c r="M118" s="6" t="str">
        <f>IF(VendasSem4[[#This Row],[Id da Venda]]=B119,"",SUMIF(VendasSem4[Id da Venda],VendasSem4[[#This Row],[Id da Venda]],VendasSem4[Total]))</f>
        <v/>
      </c>
    </row>
    <row r="119" spans="2:13" x14ac:dyDescent="0.25">
      <c r="B119">
        <v>45</v>
      </c>
      <c r="C119" s="7">
        <v>45189</v>
      </c>
      <c r="D119" t="s">
        <v>128</v>
      </c>
      <c r="E119" t="str">
        <f>IFERROR(VLOOKUP(VendasSem4[[#This Row],[Produto]],cálculos!$I$3:$L$50,4,0),"")</f>
        <v>Kg</v>
      </c>
      <c r="F119">
        <v>2</v>
      </c>
      <c r="G119" s="6">
        <f>IFERROR(VLOOKUP(VendasSem4[[#This Row],[Produto]],cálculos!$I$3:$L$50,3,0),0)</f>
        <v>10</v>
      </c>
      <c r="H119" s="6">
        <f>IFERROR(VendasSem4[[#This Row],[Quantidade]]*VendasSem4[[#This Row],[Preço Unitário]],0)</f>
        <v>20</v>
      </c>
      <c r="I119" s="11"/>
      <c r="J119" t="s">
        <v>109</v>
      </c>
      <c r="K119" s="6">
        <f>IFERROR(IF(VendasSem4[[#This Row],[Id da Venda]]=B120,0,VLOOKUP(VendasSem4[[#This Row],[Região de Entrega]],cálculos!$B$5:$C$9,2,0)),0)</f>
        <v>0</v>
      </c>
      <c r="L119" s="6">
        <f>(VendasSem4[[#This Row],[Subtotal]]*(1-VendasSem4[[#This Row],[Desconto]])+VendasSem4[[#This Row],[Valor de Entrega]])</f>
        <v>20</v>
      </c>
      <c r="M119" s="6" t="str">
        <f>IF(VendasSem4[[#This Row],[Id da Venda]]=B120,"",SUMIF(VendasSem4[Id da Venda],VendasSem4[[#This Row],[Id da Venda]],VendasSem4[Total]))</f>
        <v/>
      </c>
    </row>
    <row r="120" spans="2:13" x14ac:dyDescent="0.25">
      <c r="B120">
        <v>45</v>
      </c>
      <c r="C120" s="7">
        <v>45189</v>
      </c>
      <c r="D120" t="s">
        <v>121</v>
      </c>
      <c r="E120" t="str">
        <f>IFERROR(VLOOKUP(VendasSem4[[#This Row],[Produto]],cálculos!$I$3:$L$50,4,0),"")</f>
        <v>Kg</v>
      </c>
      <c r="F120">
        <v>1</v>
      </c>
      <c r="G120" s="6">
        <f>IFERROR(VLOOKUP(VendasSem4[[#This Row],[Produto]],cálculos!$I$3:$L$50,3,0),0)</f>
        <v>12</v>
      </c>
      <c r="H120" s="6">
        <f>IFERROR(VendasSem4[[#This Row],[Quantidade]]*VendasSem4[[#This Row],[Preço Unitário]],0)</f>
        <v>12</v>
      </c>
      <c r="I120" s="11"/>
      <c r="J120" t="s">
        <v>109</v>
      </c>
      <c r="K120" s="6">
        <f>IFERROR(IF(VendasSem4[[#This Row],[Id da Venda]]=B121,0,VLOOKUP(VendasSem4[[#This Row],[Região de Entrega]],cálculos!$B$5:$C$9,2,0)),0)</f>
        <v>0</v>
      </c>
      <c r="L120" s="6">
        <f>(VendasSem4[[#This Row],[Subtotal]]*(1-VendasSem4[[#This Row],[Desconto]])+VendasSem4[[#This Row],[Valor de Entrega]])</f>
        <v>12</v>
      </c>
      <c r="M120" s="6">
        <f>IF(VendasSem4[[#This Row],[Id da Venda]]=B121,"",SUMIF(VendasSem4[Id da Venda],VendasSem4[[#This Row],[Id da Venda]],VendasSem4[Total]))</f>
        <v>55.9</v>
      </c>
    </row>
    <row r="121" spans="2:13" x14ac:dyDescent="0.25">
      <c r="B121">
        <v>46</v>
      </c>
      <c r="C121" s="7">
        <v>45189</v>
      </c>
      <c r="D121" t="s">
        <v>32</v>
      </c>
      <c r="E121" t="str">
        <f>IFERROR(VLOOKUP(VendasSem4[[#This Row],[Produto]],cálculos!$I$3:$L$50,4,0),"")</f>
        <v>Kg</v>
      </c>
      <c r="F121">
        <v>10</v>
      </c>
      <c r="G121" s="6">
        <f>IFERROR(VLOOKUP(VendasSem4[[#This Row],[Produto]],cálculos!$I$3:$L$50,3,0),0)</f>
        <v>2.4900000000000002</v>
      </c>
      <c r="H121" s="6">
        <f>IFERROR(VendasSem4[[#This Row],[Quantidade]]*VendasSem4[[#This Row],[Preço Unitário]],0)</f>
        <v>24.900000000000002</v>
      </c>
      <c r="I121" s="11"/>
      <c r="J121" t="s">
        <v>108</v>
      </c>
      <c r="K121" s="6">
        <f>IFERROR(IF(VendasSem4[[#This Row],[Id da Venda]]=B122,0,VLOOKUP(VendasSem4[[#This Row],[Região de Entrega]],cálculos!$B$5:$C$9,2,0)),0)</f>
        <v>0</v>
      </c>
      <c r="L121" s="6">
        <f>(VendasSem4[[#This Row],[Subtotal]]*(1-VendasSem4[[#This Row],[Desconto]])+VendasSem4[[#This Row],[Valor de Entrega]])</f>
        <v>24.900000000000002</v>
      </c>
      <c r="M121" s="6" t="str">
        <f>IF(VendasSem4[[#This Row],[Id da Venda]]=B122,"",SUMIF(VendasSem4[Id da Venda],VendasSem4[[#This Row],[Id da Venda]],VendasSem4[Total]))</f>
        <v/>
      </c>
    </row>
    <row r="122" spans="2:13" x14ac:dyDescent="0.25">
      <c r="B122">
        <v>46</v>
      </c>
      <c r="C122" s="7">
        <v>45189</v>
      </c>
      <c r="D122" t="s">
        <v>33</v>
      </c>
      <c r="E122" t="str">
        <f>IFERROR(VLOOKUP(VendasSem4[[#This Row],[Produto]],cálculos!$I$3:$L$50,4,0),"")</f>
        <v>Kg</v>
      </c>
      <c r="F122">
        <v>6</v>
      </c>
      <c r="G122" s="6">
        <f>IFERROR(VLOOKUP(VendasSem4[[#This Row],[Produto]],cálculos!$I$3:$L$50,3,0),0)</f>
        <v>4.28</v>
      </c>
      <c r="H122" s="6">
        <f>IFERROR(VendasSem4[[#This Row],[Quantidade]]*VendasSem4[[#This Row],[Preço Unitário]],0)</f>
        <v>25.68</v>
      </c>
      <c r="I122" s="11"/>
      <c r="J122" t="s">
        <v>108</v>
      </c>
      <c r="K122" s="6">
        <f>IFERROR(IF(VendasSem4[[#This Row],[Id da Venda]]=B123,0,VLOOKUP(VendasSem4[[#This Row],[Região de Entrega]],cálculos!$B$5:$C$9,2,0)),0)</f>
        <v>0</v>
      </c>
      <c r="L122" s="6">
        <f>(VendasSem4[[#This Row],[Subtotal]]*(1-VendasSem4[[#This Row],[Desconto]])+VendasSem4[[#This Row],[Valor de Entrega]])</f>
        <v>25.68</v>
      </c>
      <c r="M122" s="6" t="str">
        <f>IF(VendasSem4[[#This Row],[Id da Venda]]=B123,"",SUMIF(VendasSem4[Id da Venda],VendasSem4[[#This Row],[Id da Venda]],VendasSem4[Total]))</f>
        <v/>
      </c>
    </row>
    <row r="123" spans="2:13" x14ac:dyDescent="0.25">
      <c r="B123">
        <v>46</v>
      </c>
      <c r="C123" s="7">
        <v>45189</v>
      </c>
      <c r="D123" t="s">
        <v>66</v>
      </c>
      <c r="E123" t="str">
        <f>IFERROR(VLOOKUP(VendasSem4[[#This Row],[Produto]],cálculos!$I$3:$L$50,4,0),"")</f>
        <v>Litro</v>
      </c>
      <c r="F123">
        <v>2</v>
      </c>
      <c r="G123" s="6">
        <f>IFERROR(VLOOKUP(VendasSem4[[#This Row],[Produto]],cálculos!$I$3:$L$50,3,0),0)</f>
        <v>1.49</v>
      </c>
      <c r="H123" s="6">
        <f>IFERROR(VendasSem4[[#This Row],[Quantidade]]*VendasSem4[[#This Row],[Preço Unitário]],0)</f>
        <v>2.98</v>
      </c>
      <c r="I123" s="11"/>
      <c r="J123" t="s">
        <v>108</v>
      </c>
      <c r="K123" s="6">
        <f>IFERROR(IF(VendasSem4[[#This Row],[Id da Venda]]=B124,0,VLOOKUP(VendasSem4[[#This Row],[Região de Entrega]],cálculos!$B$5:$C$9,2,0)),0)</f>
        <v>0</v>
      </c>
      <c r="L123" s="6">
        <f>(VendasSem4[[#This Row],[Subtotal]]*(1-VendasSem4[[#This Row],[Desconto]])+VendasSem4[[#This Row],[Valor de Entrega]])</f>
        <v>2.98</v>
      </c>
      <c r="M123" s="6" t="str">
        <f>IF(VendasSem4[[#This Row],[Id da Venda]]=B124,"",SUMIF(VendasSem4[Id da Venda],VendasSem4[[#This Row],[Id da Venda]],VendasSem4[Total]))</f>
        <v/>
      </c>
    </row>
    <row r="124" spans="2:13" x14ac:dyDescent="0.25">
      <c r="B124">
        <v>46</v>
      </c>
      <c r="C124" s="7">
        <v>45189</v>
      </c>
      <c r="D124" t="s">
        <v>35</v>
      </c>
      <c r="E124" t="str">
        <f>IFERROR(VLOOKUP(VendasSem4[[#This Row],[Produto]],cálculos!$I$3:$L$50,4,0),"")</f>
        <v>Unidade</v>
      </c>
      <c r="F124">
        <v>2</v>
      </c>
      <c r="G124" s="6">
        <f>IFERROR(VLOOKUP(VendasSem4[[#This Row],[Produto]],cálculos!$I$3:$L$50,3,0),0)</f>
        <v>2.99</v>
      </c>
      <c r="H124" s="6">
        <f>IFERROR(VendasSem4[[#This Row],[Quantidade]]*VendasSem4[[#This Row],[Preço Unitário]],0)</f>
        <v>5.98</v>
      </c>
      <c r="I124" s="11"/>
      <c r="J124" t="s">
        <v>108</v>
      </c>
      <c r="K124" s="6">
        <f>IFERROR(IF(VendasSem4[[#This Row],[Id da Venda]]=B125,0,VLOOKUP(VendasSem4[[#This Row],[Região de Entrega]],cálculos!$B$5:$C$9,2,0)),0)</f>
        <v>0</v>
      </c>
      <c r="L124" s="6">
        <f>(VendasSem4[[#This Row],[Subtotal]]*(1-VendasSem4[[#This Row],[Desconto]])+VendasSem4[[#This Row],[Valor de Entrega]])</f>
        <v>5.98</v>
      </c>
      <c r="M124" s="6" t="str">
        <f>IF(VendasSem4[[#This Row],[Id da Venda]]=B125,"",SUMIF(VendasSem4[Id da Venda],VendasSem4[[#This Row],[Id da Venda]],VendasSem4[Total]))</f>
        <v/>
      </c>
    </row>
    <row r="125" spans="2:13" x14ac:dyDescent="0.25">
      <c r="B125">
        <v>46</v>
      </c>
      <c r="C125" s="7">
        <v>45189</v>
      </c>
      <c r="D125" t="s">
        <v>121</v>
      </c>
      <c r="E125" t="str">
        <f>IFERROR(VLOOKUP(VendasSem4[[#This Row],[Produto]],cálculos!$I$3:$L$50,4,0),"")</f>
        <v>Kg</v>
      </c>
      <c r="F125">
        <v>2</v>
      </c>
      <c r="G125" s="6">
        <f>IFERROR(VLOOKUP(VendasSem4[[#This Row],[Produto]],cálculos!$I$3:$L$50,3,0),0)</f>
        <v>12</v>
      </c>
      <c r="H125" s="6">
        <f>IFERROR(VendasSem4[[#This Row],[Quantidade]]*VendasSem4[[#This Row],[Preço Unitário]],0)</f>
        <v>24</v>
      </c>
      <c r="I125" s="11"/>
      <c r="J125" t="s">
        <v>108</v>
      </c>
      <c r="K125" s="6">
        <f>IFERROR(IF(VendasSem4[[#This Row],[Id da Venda]]=B126,0,VLOOKUP(VendasSem4[[#This Row],[Região de Entrega]],cálculos!$B$5:$C$9,2,0)),0)</f>
        <v>0</v>
      </c>
      <c r="L125" s="6">
        <f>(VendasSem4[[#This Row],[Subtotal]]*(1-VendasSem4[[#This Row],[Desconto]])+VendasSem4[[#This Row],[Valor de Entrega]])</f>
        <v>24</v>
      </c>
      <c r="M125" s="6" t="str">
        <f>IF(VendasSem4[[#This Row],[Id da Venda]]=B126,"",SUMIF(VendasSem4[Id da Venda],VendasSem4[[#This Row],[Id da Venda]],VendasSem4[Total]))</f>
        <v/>
      </c>
    </row>
    <row r="126" spans="2:13" x14ac:dyDescent="0.25">
      <c r="B126">
        <v>46</v>
      </c>
      <c r="C126" s="7">
        <v>45189</v>
      </c>
      <c r="D126" t="s">
        <v>46</v>
      </c>
      <c r="E126" t="str">
        <f>IFERROR(VLOOKUP(VendasSem4[[#This Row],[Produto]],cálculos!$I$3:$L$50,4,0),"")</f>
        <v>Garrafa</v>
      </c>
      <c r="F126">
        <v>4</v>
      </c>
      <c r="G126" s="6">
        <f>IFERROR(VLOOKUP(VendasSem4[[#This Row],[Produto]],cálculos!$I$3:$L$50,3,0),0)</f>
        <v>54.9</v>
      </c>
      <c r="H126" s="6">
        <f>IFERROR(VendasSem4[[#This Row],[Quantidade]]*VendasSem4[[#This Row],[Preço Unitário]],0)</f>
        <v>219.6</v>
      </c>
      <c r="I126" s="11"/>
      <c r="J126" t="s">
        <v>108</v>
      </c>
      <c r="K126" s="6">
        <f>IFERROR(IF(VendasSem4[[#This Row],[Id da Venda]]=B127,0,VLOOKUP(VendasSem4[[#This Row],[Região de Entrega]],cálculos!$B$5:$C$9,2,0)),0)</f>
        <v>0</v>
      </c>
      <c r="L126" s="6">
        <f>(VendasSem4[[#This Row],[Subtotal]]*(1-VendasSem4[[#This Row],[Desconto]])+VendasSem4[[#This Row],[Valor de Entrega]])</f>
        <v>219.6</v>
      </c>
      <c r="M126" s="6" t="str">
        <f>IF(VendasSem4[[#This Row],[Id da Venda]]=B127,"",SUMIF(VendasSem4[Id da Venda],VendasSem4[[#This Row],[Id da Venda]],VendasSem4[Total]))</f>
        <v/>
      </c>
    </row>
    <row r="127" spans="2:13" x14ac:dyDescent="0.25">
      <c r="B127">
        <v>46</v>
      </c>
      <c r="C127" s="7">
        <v>45189</v>
      </c>
      <c r="D127" t="s">
        <v>40</v>
      </c>
      <c r="E127" t="str">
        <f>IFERROR(VLOOKUP(VendasSem4[[#This Row],[Produto]],cálculos!$I$3:$L$50,4,0),"")</f>
        <v>Garrafa</v>
      </c>
      <c r="F127">
        <v>3</v>
      </c>
      <c r="G127" s="6">
        <f>IFERROR(VLOOKUP(VendasSem4[[#This Row],[Produto]],cálculos!$I$3:$L$50,3,0),0)</f>
        <v>29.9</v>
      </c>
      <c r="H127" s="6">
        <f>IFERROR(VendasSem4[[#This Row],[Quantidade]]*VendasSem4[[#This Row],[Preço Unitário]],0)</f>
        <v>89.699999999999989</v>
      </c>
      <c r="I127" s="11"/>
      <c r="J127" t="s">
        <v>108</v>
      </c>
      <c r="K127" s="6">
        <f>IFERROR(IF(VendasSem4[[#This Row],[Id da Venda]]=B128,0,VLOOKUP(VendasSem4[[#This Row],[Região de Entrega]],cálculos!$B$5:$C$9,2,0)),0)</f>
        <v>0</v>
      </c>
      <c r="L127" s="6">
        <f>(VendasSem4[[#This Row],[Subtotal]]*(1-VendasSem4[[#This Row],[Desconto]])+VendasSem4[[#This Row],[Valor de Entrega]])</f>
        <v>89.699999999999989</v>
      </c>
      <c r="M127" s="6" t="str">
        <f>IF(VendasSem4[[#This Row],[Id da Venda]]=B128,"",SUMIF(VendasSem4[Id da Venda],VendasSem4[[#This Row],[Id da Venda]],VendasSem4[Total]))</f>
        <v/>
      </c>
    </row>
    <row r="128" spans="2:13" x14ac:dyDescent="0.25">
      <c r="B128">
        <v>46</v>
      </c>
      <c r="C128" s="7">
        <v>45189</v>
      </c>
      <c r="D128" t="s">
        <v>38</v>
      </c>
      <c r="E128" t="str">
        <f>IFERROR(VLOOKUP(VendasSem4[[#This Row],[Produto]],cálculos!$I$3:$L$50,4,0),"")</f>
        <v>Kg</v>
      </c>
      <c r="F128">
        <v>5</v>
      </c>
      <c r="G128" s="6">
        <f>IFERROR(VLOOKUP(VendasSem4[[#This Row],[Produto]],cálculos!$I$3:$L$50,3,0),0)</f>
        <v>23.9</v>
      </c>
      <c r="H128" s="6">
        <f>IFERROR(VendasSem4[[#This Row],[Quantidade]]*VendasSem4[[#This Row],[Preço Unitário]],0)</f>
        <v>119.5</v>
      </c>
      <c r="I128" s="11"/>
      <c r="J128" t="s">
        <v>108</v>
      </c>
      <c r="K128" s="6">
        <f>IFERROR(IF(VendasSem4[[#This Row],[Id da Venda]]=B129,0,VLOOKUP(VendasSem4[[#This Row],[Região de Entrega]],cálculos!$B$5:$C$9,2,0)),0)</f>
        <v>0</v>
      </c>
      <c r="L128" s="6">
        <f>(VendasSem4[[#This Row],[Subtotal]]*(1-VendasSem4[[#This Row],[Desconto]])+VendasSem4[[#This Row],[Valor de Entrega]])</f>
        <v>119.5</v>
      </c>
      <c r="M128" s="6" t="str">
        <f>IF(VendasSem4[[#This Row],[Id da Venda]]=B129,"",SUMIF(VendasSem4[Id da Venda],VendasSem4[[#This Row],[Id da Venda]],VendasSem4[Total]))</f>
        <v/>
      </c>
    </row>
    <row r="129" spans="2:13" x14ac:dyDescent="0.25">
      <c r="B129">
        <v>46</v>
      </c>
      <c r="C129" s="7">
        <v>45189</v>
      </c>
      <c r="D129" t="s">
        <v>131</v>
      </c>
      <c r="E129" t="str">
        <f>IFERROR(VLOOKUP(VendasSem4[[#This Row],[Produto]],cálculos!$I$3:$L$50,4,0),"")</f>
        <v>Kg</v>
      </c>
      <c r="F129">
        <v>1</v>
      </c>
      <c r="G129" s="6">
        <f>IFERROR(VLOOKUP(VendasSem4[[#This Row],[Produto]],cálculos!$I$3:$L$50,3,0),0)</f>
        <v>3</v>
      </c>
      <c r="H129" s="6">
        <f>IFERROR(VendasSem4[[#This Row],[Quantidade]]*VendasSem4[[#This Row],[Preço Unitário]],0)</f>
        <v>3</v>
      </c>
      <c r="I129" s="11"/>
      <c r="J129" t="s">
        <v>108</v>
      </c>
      <c r="K129" s="6">
        <f>IFERROR(IF(VendasSem4[[#This Row],[Id da Venda]]=B130,0,VLOOKUP(VendasSem4[[#This Row],[Região de Entrega]],cálculos!$B$5:$C$9,2,0)),0)</f>
        <v>0</v>
      </c>
      <c r="L129" s="6">
        <f>(VendasSem4[[#This Row],[Subtotal]]*(1-VendasSem4[[#This Row],[Desconto]])+VendasSem4[[#This Row],[Valor de Entrega]])</f>
        <v>3</v>
      </c>
      <c r="M129" s="6" t="str">
        <f>IF(VendasSem4[[#This Row],[Id da Venda]]=B130,"",SUMIF(VendasSem4[Id da Venda],VendasSem4[[#This Row],[Id da Venda]],VendasSem4[Total]))</f>
        <v/>
      </c>
    </row>
    <row r="130" spans="2:13" x14ac:dyDescent="0.25">
      <c r="B130">
        <v>46</v>
      </c>
      <c r="C130" s="7">
        <v>45189</v>
      </c>
      <c r="D130" t="s">
        <v>36</v>
      </c>
      <c r="E130" t="str">
        <f>IFERROR(VLOOKUP(VendasSem4[[#This Row],[Produto]],cálculos!$I$3:$L$50,4,0),"")</f>
        <v>Kg</v>
      </c>
      <c r="F130">
        <v>6</v>
      </c>
      <c r="G130" s="6">
        <f>IFERROR(VLOOKUP(VendasSem4[[#This Row],[Produto]],cálculos!$I$3:$L$50,3,0),0)</f>
        <v>15.9</v>
      </c>
      <c r="H130" s="6">
        <f>IFERROR(VendasSem4[[#This Row],[Quantidade]]*VendasSem4[[#This Row],[Preço Unitário]],0)</f>
        <v>95.4</v>
      </c>
      <c r="I130" s="11"/>
      <c r="J130" t="s">
        <v>108</v>
      </c>
      <c r="K130" s="6">
        <f>IFERROR(IF(VendasSem4[[#This Row],[Id da Venda]]=B131,0,VLOOKUP(VendasSem4[[#This Row],[Região de Entrega]],cálculos!$B$5:$C$9,2,0)),0)</f>
        <v>0</v>
      </c>
      <c r="L130" s="6">
        <f>(VendasSem4[[#This Row],[Subtotal]]*(1-VendasSem4[[#This Row],[Desconto]])+VendasSem4[[#This Row],[Valor de Entrega]])</f>
        <v>95.4</v>
      </c>
      <c r="M130" s="6" t="str">
        <f>IF(VendasSem4[[#This Row],[Id da Venda]]=B131,"",SUMIF(VendasSem4[Id da Venda],VendasSem4[[#This Row],[Id da Venda]],VendasSem4[Total]))</f>
        <v/>
      </c>
    </row>
    <row r="131" spans="2:13" x14ac:dyDescent="0.25">
      <c r="B131">
        <v>46</v>
      </c>
      <c r="C131" s="7">
        <v>45189</v>
      </c>
      <c r="D131" t="s">
        <v>126</v>
      </c>
      <c r="E131" t="str">
        <f>IFERROR(VLOOKUP(VendasSem4[[#This Row],[Produto]],cálculos!$I$3:$L$50,4,0),"")</f>
        <v>Unidade</v>
      </c>
      <c r="F131">
        <v>1</v>
      </c>
      <c r="G131" s="6">
        <f>IFERROR(VLOOKUP(VendasSem4[[#This Row],[Produto]],cálculos!$I$3:$L$50,3,0),0)</f>
        <v>7</v>
      </c>
      <c r="H131" s="6">
        <f>IFERROR(VendasSem4[[#This Row],[Quantidade]]*VendasSem4[[#This Row],[Preço Unitário]],0)</f>
        <v>7</v>
      </c>
      <c r="I131" s="11"/>
      <c r="J131" t="s">
        <v>108</v>
      </c>
      <c r="K131" s="6">
        <f>IFERROR(IF(VendasSem4[[#This Row],[Id da Venda]]=B132,0,VLOOKUP(VendasSem4[[#This Row],[Região de Entrega]],cálculos!$B$5:$C$9,2,0)),0)</f>
        <v>0</v>
      </c>
      <c r="L131" s="6">
        <f>(VendasSem4[[#This Row],[Subtotal]]*(1-VendasSem4[[#This Row],[Desconto]])+VendasSem4[[#This Row],[Valor de Entrega]])</f>
        <v>7</v>
      </c>
      <c r="M131" s="6" t="str">
        <f>IF(VendasSem4[[#This Row],[Id da Venda]]=B132,"",SUMIF(VendasSem4[Id da Venda],VendasSem4[[#This Row],[Id da Venda]],VendasSem4[Total]))</f>
        <v/>
      </c>
    </row>
    <row r="132" spans="2:13" x14ac:dyDescent="0.25">
      <c r="B132">
        <v>46</v>
      </c>
      <c r="C132" s="7">
        <v>45189</v>
      </c>
      <c r="D132" t="s">
        <v>72</v>
      </c>
      <c r="E132" t="str">
        <f>IFERROR(VLOOKUP(VendasSem4[[#This Row],[Produto]],cálculos!$I$3:$L$50,4,0),"")</f>
        <v>Litro</v>
      </c>
      <c r="F132">
        <v>5</v>
      </c>
      <c r="G132" s="6">
        <f>IFERROR(VLOOKUP(VendasSem4[[#This Row],[Produto]],cálculos!$I$3:$L$50,3,0),0)</f>
        <v>2.39</v>
      </c>
      <c r="H132" s="6">
        <f>IFERROR(VendasSem4[[#This Row],[Quantidade]]*VendasSem4[[#This Row],[Preço Unitário]],0)</f>
        <v>11.950000000000001</v>
      </c>
      <c r="I132" s="11"/>
      <c r="J132" t="s">
        <v>108</v>
      </c>
      <c r="K132" s="6">
        <f>IFERROR(IF(VendasSem4[[#This Row],[Id da Venda]]=B133,0,VLOOKUP(VendasSem4[[#This Row],[Região de Entrega]],cálculos!$B$5:$C$9,2,0)),0)</f>
        <v>0</v>
      </c>
      <c r="L132" s="6">
        <f>(VendasSem4[[#This Row],[Subtotal]]*(1-VendasSem4[[#This Row],[Desconto]])+VendasSem4[[#This Row],[Valor de Entrega]])</f>
        <v>11.950000000000001</v>
      </c>
      <c r="M132" s="6" t="str">
        <f>IF(VendasSem4[[#This Row],[Id da Venda]]=B133,"",SUMIF(VendasSem4[Id da Venda],VendasSem4[[#This Row],[Id da Venda]],VendasSem4[Total]))</f>
        <v/>
      </c>
    </row>
    <row r="133" spans="2:13" x14ac:dyDescent="0.25">
      <c r="B133">
        <v>46</v>
      </c>
      <c r="C133" s="7">
        <v>45189</v>
      </c>
      <c r="D133" t="s">
        <v>43</v>
      </c>
      <c r="E133" t="str">
        <f>IFERROR(VLOOKUP(VendasSem4[[#This Row],[Produto]],cálculos!$I$3:$L$50,4,0),"")</f>
        <v>Kg</v>
      </c>
      <c r="F133">
        <v>1</v>
      </c>
      <c r="G133" s="6">
        <f>IFERROR(VLOOKUP(VendasSem4[[#This Row],[Produto]],cálculos!$I$3:$L$50,3,0),0)</f>
        <v>9.58</v>
      </c>
      <c r="H133" s="6">
        <f>IFERROR(VendasSem4[[#This Row],[Quantidade]]*VendasSem4[[#This Row],[Preço Unitário]],0)</f>
        <v>9.58</v>
      </c>
      <c r="I133" s="11"/>
      <c r="J133" t="s">
        <v>108</v>
      </c>
      <c r="K133" s="6">
        <f>IFERROR(IF(VendasSem4[[#This Row],[Id da Venda]]=B134,0,VLOOKUP(VendasSem4[[#This Row],[Região de Entrega]],cálculos!$B$5:$C$9,2,0)),0)</f>
        <v>10</v>
      </c>
      <c r="L133" s="6">
        <f>(VendasSem4[[#This Row],[Subtotal]]*(1-VendasSem4[[#This Row],[Desconto]])+VendasSem4[[#This Row],[Valor de Entrega]])</f>
        <v>19.579999999999998</v>
      </c>
      <c r="M133" s="6">
        <f>IF(VendasSem4[[#This Row],[Id da Venda]]=B134,"",SUMIF(VendasSem4[Id da Venda],VendasSem4[[#This Row],[Id da Venda]],VendasSem4[Total]))</f>
        <v>649.27</v>
      </c>
    </row>
    <row r="134" spans="2:13" x14ac:dyDescent="0.25">
      <c r="B134">
        <v>47</v>
      </c>
      <c r="C134" s="7">
        <v>45189</v>
      </c>
      <c r="D134" t="s">
        <v>130</v>
      </c>
      <c r="E134" t="str">
        <f>IFERROR(VLOOKUP(VendasSem4[[#This Row],[Produto]],cálculos!$I$3:$L$50,4,0),"")</f>
        <v>Kg</v>
      </c>
      <c r="F134">
        <v>1</v>
      </c>
      <c r="G134" s="6">
        <f>IFERROR(VLOOKUP(VendasSem4[[#This Row],[Produto]],cálculos!$I$3:$L$50,3,0),0)</f>
        <v>2.8</v>
      </c>
      <c r="H134" s="6">
        <f>IFERROR(VendasSem4[[#This Row],[Quantidade]]*VendasSem4[[#This Row],[Preço Unitário]],0)</f>
        <v>2.8</v>
      </c>
      <c r="I134" s="11"/>
      <c r="J134" t="s">
        <v>112</v>
      </c>
      <c r="K134" s="6">
        <f>IFERROR(IF(VendasSem4[[#This Row],[Id da Venda]]=B135,0,VLOOKUP(VendasSem4[[#This Row],[Região de Entrega]],cálculos!$B$5:$C$9,2,0)),0)</f>
        <v>0</v>
      </c>
      <c r="L134" s="6">
        <f>(VendasSem4[[#This Row],[Subtotal]]*(1-VendasSem4[[#This Row],[Desconto]])+VendasSem4[[#This Row],[Valor de Entrega]])</f>
        <v>2.8</v>
      </c>
      <c r="M134" s="6" t="str">
        <f>IF(VendasSem4[[#This Row],[Id da Venda]]=B135,"",SUMIF(VendasSem4[Id da Venda],VendasSem4[[#This Row],[Id da Venda]],VendasSem4[Total]))</f>
        <v/>
      </c>
    </row>
    <row r="135" spans="2:13" x14ac:dyDescent="0.25">
      <c r="B135">
        <v>47</v>
      </c>
      <c r="C135" s="7">
        <v>45189</v>
      </c>
      <c r="D135" t="s">
        <v>35</v>
      </c>
      <c r="E135" t="str">
        <f>IFERROR(VLOOKUP(VendasSem4[[#This Row],[Produto]],cálculos!$I$3:$L$50,4,0),"")</f>
        <v>Unidade</v>
      </c>
      <c r="F135">
        <v>1</v>
      </c>
      <c r="G135" s="6">
        <f>IFERROR(VLOOKUP(VendasSem4[[#This Row],[Produto]],cálculos!$I$3:$L$50,3,0),0)</f>
        <v>2.99</v>
      </c>
      <c r="H135" s="6">
        <f>IFERROR(VendasSem4[[#This Row],[Quantidade]]*VendasSem4[[#This Row],[Preço Unitário]],0)</f>
        <v>2.99</v>
      </c>
      <c r="I135" s="11"/>
      <c r="J135" t="s">
        <v>112</v>
      </c>
      <c r="K135" s="6">
        <f>IFERROR(IF(VendasSem4[[#This Row],[Id da Venda]]=B136,0,VLOOKUP(VendasSem4[[#This Row],[Região de Entrega]],cálculos!$B$5:$C$9,2,0)),0)</f>
        <v>0</v>
      </c>
      <c r="L135" s="6">
        <f>(VendasSem4[[#This Row],[Subtotal]]*(1-VendasSem4[[#This Row],[Desconto]])+VendasSem4[[#This Row],[Valor de Entrega]])</f>
        <v>2.99</v>
      </c>
      <c r="M135" s="6" t="str">
        <f>IF(VendasSem4[[#This Row],[Id da Venda]]=B136,"",SUMIF(VendasSem4[Id da Venda],VendasSem4[[#This Row],[Id da Venda]],VendasSem4[Total]))</f>
        <v/>
      </c>
    </row>
    <row r="136" spans="2:13" x14ac:dyDescent="0.25">
      <c r="B136">
        <v>47</v>
      </c>
      <c r="C136" s="7">
        <v>45189</v>
      </c>
      <c r="D136" t="s">
        <v>56</v>
      </c>
      <c r="E136" t="str">
        <f>IFERROR(VLOOKUP(VendasSem4[[#This Row],[Produto]],cálculos!$I$3:$L$50,4,0),"")</f>
        <v>Pacote</v>
      </c>
      <c r="F136">
        <v>3</v>
      </c>
      <c r="G136" s="6">
        <f>IFERROR(VLOOKUP(VendasSem4[[#This Row],[Produto]],cálculos!$I$3:$L$50,3,0),0)</f>
        <v>1.99</v>
      </c>
      <c r="H136" s="6">
        <f>IFERROR(VendasSem4[[#This Row],[Quantidade]]*VendasSem4[[#This Row],[Preço Unitário]],0)</f>
        <v>5.97</v>
      </c>
      <c r="I136" s="11"/>
      <c r="J136" t="s">
        <v>112</v>
      </c>
      <c r="K136" s="6">
        <f>IFERROR(IF(VendasSem4[[#This Row],[Id da Venda]]=B137,0,VLOOKUP(VendasSem4[[#This Row],[Região de Entrega]],cálculos!$B$5:$C$9,2,0)),0)</f>
        <v>0</v>
      </c>
      <c r="L136" s="6">
        <f>(VendasSem4[[#This Row],[Subtotal]]*(1-VendasSem4[[#This Row],[Desconto]])+VendasSem4[[#This Row],[Valor de Entrega]])</f>
        <v>5.97</v>
      </c>
      <c r="M136" s="6" t="str">
        <f>IF(VendasSem4[[#This Row],[Id da Venda]]=B137,"",SUMIF(VendasSem4[Id da Venda],VendasSem4[[#This Row],[Id da Venda]],VendasSem4[Total]))</f>
        <v/>
      </c>
    </row>
    <row r="137" spans="2:13" x14ac:dyDescent="0.25">
      <c r="B137">
        <v>47</v>
      </c>
      <c r="C137" s="7">
        <v>45189</v>
      </c>
      <c r="D137" t="s">
        <v>122</v>
      </c>
      <c r="E137" t="str">
        <f>IFERROR(VLOOKUP(VendasSem4[[#This Row],[Produto]],cálculos!$I$3:$L$50,4,0),"")</f>
        <v>Kg</v>
      </c>
      <c r="F137">
        <v>1</v>
      </c>
      <c r="G137" s="6">
        <f>IFERROR(VLOOKUP(VendasSem4[[#This Row],[Produto]],cálculos!$I$3:$L$50,3,0),0)</f>
        <v>7</v>
      </c>
      <c r="H137" s="6">
        <f>IFERROR(VendasSem4[[#This Row],[Quantidade]]*VendasSem4[[#This Row],[Preço Unitário]],0)</f>
        <v>7</v>
      </c>
      <c r="I137" s="11"/>
      <c r="J137" t="s">
        <v>112</v>
      </c>
      <c r="K137" s="6">
        <f>IFERROR(IF(VendasSem4[[#This Row],[Id da Venda]]=B138,0,VLOOKUP(VendasSem4[[#This Row],[Região de Entrega]],cálculos!$B$5:$C$9,2,0)),0)</f>
        <v>0</v>
      </c>
      <c r="L137" s="6">
        <f>(VendasSem4[[#This Row],[Subtotal]]*(1-VendasSem4[[#This Row],[Desconto]])+VendasSem4[[#This Row],[Valor de Entrega]])</f>
        <v>7</v>
      </c>
      <c r="M137" s="6" t="str">
        <f>IF(VendasSem4[[#This Row],[Id da Venda]]=B138,"",SUMIF(VendasSem4[Id da Venda],VendasSem4[[#This Row],[Id da Venda]],VendasSem4[Total]))</f>
        <v/>
      </c>
    </row>
    <row r="138" spans="2:13" x14ac:dyDescent="0.25">
      <c r="B138">
        <v>47</v>
      </c>
      <c r="C138" s="7">
        <v>45189</v>
      </c>
      <c r="D138" t="s">
        <v>118</v>
      </c>
      <c r="E138" t="str">
        <f>IFERROR(VLOOKUP(VendasSem4[[#This Row],[Produto]],cálculos!$I$3:$L$50,4,0),"")</f>
        <v>Kg</v>
      </c>
      <c r="F138">
        <v>3</v>
      </c>
      <c r="G138" s="6">
        <f>IFERROR(VLOOKUP(VendasSem4[[#This Row],[Produto]],cálculos!$I$3:$L$50,3,0),0)</f>
        <v>4</v>
      </c>
      <c r="H138" s="6">
        <f>IFERROR(VendasSem4[[#This Row],[Quantidade]]*VendasSem4[[#This Row],[Preço Unitário]],0)</f>
        <v>12</v>
      </c>
      <c r="I138" s="11"/>
      <c r="J138" t="s">
        <v>112</v>
      </c>
      <c r="K138" s="6">
        <f>IFERROR(IF(VendasSem4[[#This Row],[Id da Venda]]=B139,0,VLOOKUP(VendasSem4[[#This Row],[Região de Entrega]],cálculos!$B$5:$C$9,2,0)),0)</f>
        <v>0</v>
      </c>
      <c r="L138" s="6">
        <f>(VendasSem4[[#This Row],[Subtotal]]*(1-VendasSem4[[#This Row],[Desconto]])+VendasSem4[[#This Row],[Valor de Entrega]])</f>
        <v>12</v>
      </c>
      <c r="M138" s="6" t="str">
        <f>IF(VendasSem4[[#This Row],[Id da Venda]]=B139,"",SUMIF(VendasSem4[Id da Venda],VendasSem4[[#This Row],[Id da Venda]],VendasSem4[Total]))</f>
        <v/>
      </c>
    </row>
    <row r="139" spans="2:13" x14ac:dyDescent="0.25">
      <c r="B139">
        <v>47</v>
      </c>
      <c r="C139" s="7">
        <v>45189</v>
      </c>
      <c r="D139" t="s">
        <v>36</v>
      </c>
      <c r="E139" t="str">
        <f>IFERROR(VLOOKUP(VendasSem4[[#This Row],[Produto]],cálculos!$I$3:$L$50,4,0),"")</f>
        <v>Kg</v>
      </c>
      <c r="F139">
        <v>5</v>
      </c>
      <c r="G139" s="6">
        <f>IFERROR(VLOOKUP(VendasSem4[[#This Row],[Produto]],cálculos!$I$3:$L$50,3,0),0)</f>
        <v>15.9</v>
      </c>
      <c r="H139" s="6">
        <f>IFERROR(VendasSem4[[#This Row],[Quantidade]]*VendasSem4[[#This Row],[Preço Unitário]],0)</f>
        <v>79.5</v>
      </c>
      <c r="I139" s="11"/>
      <c r="J139" t="s">
        <v>112</v>
      </c>
      <c r="K139" s="6">
        <f>IFERROR(IF(VendasSem4[[#This Row],[Id da Venda]]=B140,0,VLOOKUP(VendasSem4[[#This Row],[Região de Entrega]],cálculos!$B$5:$C$9,2,0)),0)</f>
        <v>0</v>
      </c>
      <c r="L139" s="6">
        <f>(VendasSem4[[#This Row],[Subtotal]]*(1-VendasSem4[[#This Row],[Desconto]])+VendasSem4[[#This Row],[Valor de Entrega]])</f>
        <v>79.5</v>
      </c>
      <c r="M139" s="6" t="str">
        <f>IF(VendasSem4[[#This Row],[Id da Venda]]=B140,"",SUMIF(VendasSem4[Id da Venda],VendasSem4[[#This Row],[Id da Venda]],VendasSem4[Total]))</f>
        <v/>
      </c>
    </row>
    <row r="140" spans="2:13" x14ac:dyDescent="0.25">
      <c r="B140">
        <v>47</v>
      </c>
      <c r="C140" s="7">
        <v>45189</v>
      </c>
      <c r="D140" t="s">
        <v>42</v>
      </c>
      <c r="E140" t="str">
        <f>IFERROR(VLOOKUP(VendasSem4[[#This Row],[Produto]],cálculos!$I$3:$L$50,4,0),"")</f>
        <v>Kg</v>
      </c>
      <c r="F140">
        <v>2</v>
      </c>
      <c r="G140" s="6">
        <f>IFERROR(VLOOKUP(VendasSem4[[#This Row],[Produto]],cálculos!$I$3:$L$50,3,0),0)</f>
        <v>3.99</v>
      </c>
      <c r="H140" s="6">
        <f>IFERROR(VendasSem4[[#This Row],[Quantidade]]*VendasSem4[[#This Row],[Preço Unitário]],0)</f>
        <v>7.98</v>
      </c>
      <c r="I140" s="11"/>
      <c r="J140" t="s">
        <v>112</v>
      </c>
      <c r="K140" s="6">
        <f>IFERROR(IF(VendasSem4[[#This Row],[Id da Venda]]=B141,0,VLOOKUP(VendasSem4[[#This Row],[Região de Entrega]],cálculos!$B$5:$C$9,2,0)),0)</f>
        <v>0</v>
      </c>
      <c r="L140" s="6">
        <f>(VendasSem4[[#This Row],[Subtotal]]*(1-VendasSem4[[#This Row],[Desconto]])+VendasSem4[[#This Row],[Valor de Entrega]])</f>
        <v>7.98</v>
      </c>
      <c r="M140" s="6" t="str">
        <f>IF(VendasSem4[[#This Row],[Id da Venda]]=B141,"",SUMIF(VendasSem4[Id da Venda],VendasSem4[[#This Row],[Id da Venda]],VendasSem4[Total]))</f>
        <v/>
      </c>
    </row>
    <row r="141" spans="2:13" x14ac:dyDescent="0.25">
      <c r="B141">
        <v>47</v>
      </c>
      <c r="C141" s="7">
        <v>45189</v>
      </c>
      <c r="D141" t="s">
        <v>66</v>
      </c>
      <c r="E141" t="str">
        <f>IFERROR(VLOOKUP(VendasSem4[[#This Row],[Produto]],cálculos!$I$3:$L$50,4,0),"")</f>
        <v>Litro</v>
      </c>
      <c r="F141">
        <v>2</v>
      </c>
      <c r="G141" s="6">
        <f>IFERROR(VLOOKUP(VendasSem4[[#This Row],[Produto]],cálculos!$I$3:$L$50,3,0),0)</f>
        <v>1.49</v>
      </c>
      <c r="H141" s="6">
        <f>IFERROR(VendasSem4[[#This Row],[Quantidade]]*VendasSem4[[#This Row],[Preço Unitário]],0)</f>
        <v>2.98</v>
      </c>
      <c r="I141" s="11"/>
      <c r="J141" t="s">
        <v>112</v>
      </c>
      <c r="K141" s="6">
        <f>IFERROR(IF(VendasSem4[[#This Row],[Id da Venda]]=B142,0,VLOOKUP(VendasSem4[[#This Row],[Região de Entrega]],cálculos!$B$5:$C$9,2,0)),0)</f>
        <v>0</v>
      </c>
      <c r="L141" s="6">
        <f>(VendasSem4[[#This Row],[Subtotal]]*(1-VendasSem4[[#This Row],[Desconto]])+VendasSem4[[#This Row],[Valor de Entrega]])</f>
        <v>2.98</v>
      </c>
      <c r="M141" s="6" t="str">
        <f>IF(VendasSem4[[#This Row],[Id da Venda]]=B142,"",SUMIF(VendasSem4[Id da Venda],VendasSem4[[#This Row],[Id da Venda]],VendasSem4[Total]))</f>
        <v/>
      </c>
    </row>
    <row r="142" spans="2:13" x14ac:dyDescent="0.25">
      <c r="B142">
        <v>47</v>
      </c>
      <c r="C142" s="7">
        <v>45189</v>
      </c>
      <c r="D142" t="s">
        <v>134</v>
      </c>
      <c r="E142" t="str">
        <f>IFERROR(VLOOKUP(VendasSem4[[#This Row],[Produto]],cálculos!$I$3:$L$50,4,0),"")</f>
        <v>Kg</v>
      </c>
      <c r="F142">
        <v>1</v>
      </c>
      <c r="G142" s="6">
        <f>IFERROR(VLOOKUP(VendasSem4[[#This Row],[Produto]],cálculos!$I$3:$L$50,3,0),0)</f>
        <v>24</v>
      </c>
      <c r="H142" s="6">
        <f>IFERROR(VendasSem4[[#This Row],[Quantidade]]*VendasSem4[[#This Row],[Preço Unitário]],0)</f>
        <v>24</v>
      </c>
      <c r="I142" s="11"/>
      <c r="J142" t="s">
        <v>112</v>
      </c>
      <c r="K142" s="6">
        <f>IFERROR(IF(VendasSem4[[#This Row],[Id da Venda]]=B143,0,VLOOKUP(VendasSem4[[#This Row],[Região de Entrega]],cálculos!$B$5:$C$9,2,0)),0)</f>
        <v>0</v>
      </c>
      <c r="L142" s="6">
        <f>(VendasSem4[[#This Row],[Subtotal]]*(1-VendasSem4[[#This Row],[Desconto]])+VendasSem4[[#This Row],[Valor de Entrega]])</f>
        <v>24</v>
      </c>
      <c r="M142" s="6" t="str">
        <f>IF(VendasSem4[[#This Row],[Id da Venda]]=B143,"",SUMIF(VendasSem4[Id da Venda],VendasSem4[[#This Row],[Id da Venda]],VendasSem4[Total]))</f>
        <v/>
      </c>
    </row>
    <row r="143" spans="2:13" x14ac:dyDescent="0.25">
      <c r="B143">
        <v>47</v>
      </c>
      <c r="C143" s="7">
        <v>45189</v>
      </c>
      <c r="D143" t="s">
        <v>121</v>
      </c>
      <c r="E143" t="str">
        <f>IFERROR(VLOOKUP(VendasSem4[[#This Row],[Produto]],cálculos!$I$3:$L$50,4,0),"")</f>
        <v>Kg</v>
      </c>
      <c r="F143">
        <v>1</v>
      </c>
      <c r="G143" s="6">
        <f>IFERROR(VLOOKUP(VendasSem4[[#This Row],[Produto]],cálculos!$I$3:$L$50,3,0),0)</f>
        <v>12</v>
      </c>
      <c r="H143" s="6">
        <f>IFERROR(VendasSem4[[#This Row],[Quantidade]]*VendasSem4[[#This Row],[Preço Unitário]],0)</f>
        <v>12</v>
      </c>
      <c r="I143" s="11"/>
      <c r="J143" t="s">
        <v>112</v>
      </c>
      <c r="K143" s="6">
        <f>IFERROR(IF(VendasSem4[[#This Row],[Id da Venda]]=B144,0,VLOOKUP(VendasSem4[[#This Row],[Região de Entrega]],cálculos!$B$5:$C$9,2,0)),0)</f>
        <v>0</v>
      </c>
      <c r="L143" s="6">
        <f>(VendasSem4[[#This Row],[Subtotal]]*(1-VendasSem4[[#This Row],[Desconto]])+VendasSem4[[#This Row],[Valor de Entrega]])</f>
        <v>12</v>
      </c>
      <c r="M143" s="6" t="str">
        <f>IF(VendasSem4[[#This Row],[Id da Venda]]=B144,"",SUMIF(VendasSem4[Id da Venda],VendasSem4[[#This Row],[Id da Venda]],VendasSem4[Total]))</f>
        <v/>
      </c>
    </row>
    <row r="144" spans="2:13" x14ac:dyDescent="0.25">
      <c r="B144">
        <v>47</v>
      </c>
      <c r="C144" s="7">
        <v>45189</v>
      </c>
      <c r="D144" t="s">
        <v>33</v>
      </c>
      <c r="E144" t="str">
        <f>IFERROR(VLOOKUP(VendasSem4[[#This Row],[Produto]],cálculos!$I$3:$L$50,4,0),"")</f>
        <v>Kg</v>
      </c>
      <c r="F144">
        <v>5</v>
      </c>
      <c r="G144" s="6">
        <f>IFERROR(VLOOKUP(VendasSem4[[#This Row],[Produto]],cálculos!$I$3:$L$50,3,0),0)</f>
        <v>4.28</v>
      </c>
      <c r="H144" s="6">
        <f>IFERROR(VendasSem4[[#This Row],[Quantidade]]*VendasSem4[[#This Row],[Preço Unitário]],0)</f>
        <v>21.400000000000002</v>
      </c>
      <c r="I144" s="11"/>
      <c r="J144" t="s">
        <v>112</v>
      </c>
      <c r="K144" s="6">
        <f>IFERROR(IF(VendasSem4[[#This Row],[Id da Venda]]=B145,0,VLOOKUP(VendasSem4[[#This Row],[Região de Entrega]],cálculos!$B$5:$C$9,2,0)),0)</f>
        <v>0</v>
      </c>
      <c r="L144" s="6">
        <f>(VendasSem4[[#This Row],[Subtotal]]*(1-VendasSem4[[#This Row],[Desconto]])+VendasSem4[[#This Row],[Valor de Entrega]])</f>
        <v>21.400000000000002</v>
      </c>
      <c r="M144" s="6" t="str">
        <f>IF(VendasSem4[[#This Row],[Id da Venda]]=B145,"",SUMIF(VendasSem4[Id da Venda],VendasSem4[[#This Row],[Id da Venda]],VendasSem4[Total]))</f>
        <v/>
      </c>
    </row>
    <row r="145" spans="2:13" x14ac:dyDescent="0.25">
      <c r="B145">
        <v>47</v>
      </c>
      <c r="C145" s="7">
        <v>45189</v>
      </c>
      <c r="D145" t="s">
        <v>71</v>
      </c>
      <c r="E145" t="str">
        <f>IFERROR(VLOOKUP(VendasSem4[[#This Row],[Produto]],cálculos!$I$3:$L$50,4,0),"")</f>
        <v>Unidade</v>
      </c>
      <c r="F145">
        <v>2</v>
      </c>
      <c r="G145" s="6">
        <f>IFERROR(VLOOKUP(VendasSem4[[#This Row],[Produto]],cálculos!$I$3:$L$50,3,0),0)</f>
        <v>2.89</v>
      </c>
      <c r="H145" s="6">
        <f>IFERROR(VendasSem4[[#This Row],[Quantidade]]*VendasSem4[[#This Row],[Preço Unitário]],0)</f>
        <v>5.78</v>
      </c>
      <c r="I145" s="11"/>
      <c r="J145" t="s">
        <v>112</v>
      </c>
      <c r="K145" s="6">
        <f>IFERROR(IF(VendasSem4[[#This Row],[Id da Venda]]=B146,0,VLOOKUP(VendasSem4[[#This Row],[Região de Entrega]],cálculos!$B$5:$C$9,2,0)),0)</f>
        <v>7</v>
      </c>
      <c r="L145" s="6">
        <f>(VendasSem4[[#This Row],[Subtotal]]*(1-VendasSem4[[#This Row],[Desconto]])+VendasSem4[[#This Row],[Valor de Entrega]])</f>
        <v>12.780000000000001</v>
      </c>
      <c r="M145" s="6">
        <f>IF(VendasSem4[[#This Row],[Id da Venda]]=B146,"",SUMIF(VendasSem4[Id da Venda],VendasSem4[[#This Row],[Id da Venda]],VendasSem4[Total]))</f>
        <v>191.4</v>
      </c>
    </row>
    <row r="146" spans="2:13" x14ac:dyDescent="0.25">
      <c r="B146">
        <v>48</v>
      </c>
      <c r="C146" s="7">
        <v>45189</v>
      </c>
      <c r="D146" t="s">
        <v>46</v>
      </c>
      <c r="E146" t="str">
        <f>IFERROR(VLOOKUP(VendasSem4[[#This Row],[Produto]],cálculos!$I$3:$L$50,4,0),"")</f>
        <v>Garrafa</v>
      </c>
      <c r="F146">
        <v>10</v>
      </c>
      <c r="G146" s="6">
        <f>IFERROR(VLOOKUP(VendasSem4[[#This Row],[Produto]],cálculos!$I$3:$L$50,3,0),0)</f>
        <v>54.9</v>
      </c>
      <c r="H146" s="6">
        <f>IFERROR(VendasSem4[[#This Row],[Quantidade]]*VendasSem4[[#This Row],[Preço Unitário]],0)</f>
        <v>549</v>
      </c>
      <c r="I146" s="11"/>
      <c r="J146" t="s">
        <v>109</v>
      </c>
      <c r="K146" s="6">
        <f>IFERROR(IF(VendasSem4[[#This Row],[Id da Venda]]=B147,0,VLOOKUP(VendasSem4[[#This Row],[Região de Entrega]],cálculos!$B$5:$C$9,2,0)),0)</f>
        <v>0</v>
      </c>
      <c r="L146" s="6">
        <f>(VendasSem4[[#This Row],[Subtotal]]*(1-VendasSem4[[#This Row],[Desconto]])+VendasSem4[[#This Row],[Valor de Entrega]])</f>
        <v>549</v>
      </c>
      <c r="M146" s="6" t="str">
        <f>IF(VendasSem4[[#This Row],[Id da Venda]]=B147,"",SUMIF(VendasSem4[Id da Venda],VendasSem4[[#This Row],[Id da Venda]],VendasSem4[Total]))</f>
        <v/>
      </c>
    </row>
    <row r="147" spans="2:13" x14ac:dyDescent="0.25">
      <c r="B147">
        <v>48</v>
      </c>
      <c r="C147" s="7">
        <v>45189</v>
      </c>
      <c r="D147" t="s">
        <v>40</v>
      </c>
      <c r="E147" t="str">
        <f>IFERROR(VLOOKUP(VendasSem4[[#This Row],[Produto]],cálculos!$I$3:$L$50,4,0),"")</f>
        <v>Garrafa</v>
      </c>
      <c r="F147">
        <v>5</v>
      </c>
      <c r="G147" s="6">
        <f>IFERROR(VLOOKUP(VendasSem4[[#This Row],[Produto]],cálculos!$I$3:$L$50,3,0),0)</f>
        <v>29.9</v>
      </c>
      <c r="H147" s="6">
        <f>IFERROR(VendasSem4[[#This Row],[Quantidade]]*VendasSem4[[#This Row],[Preço Unitário]],0)</f>
        <v>149.5</v>
      </c>
      <c r="I147" s="11"/>
      <c r="J147" t="s">
        <v>109</v>
      </c>
      <c r="K147" s="6">
        <f>IFERROR(IF(VendasSem4[[#This Row],[Id da Venda]]=B148,0,VLOOKUP(VendasSem4[[#This Row],[Região de Entrega]],cálculos!$B$5:$C$9,2,0)),0)</f>
        <v>0</v>
      </c>
      <c r="L147" s="6">
        <f>(VendasSem4[[#This Row],[Subtotal]]*(1-VendasSem4[[#This Row],[Desconto]])+VendasSem4[[#This Row],[Valor de Entrega]])</f>
        <v>149.5</v>
      </c>
      <c r="M147" s="6">
        <f>IF(VendasSem4[[#This Row],[Id da Venda]]=B148,"",SUMIF(VendasSem4[Id da Venda],VendasSem4[[#This Row],[Id da Venda]],VendasSem4[Total]))</f>
        <v>698.5</v>
      </c>
    </row>
    <row r="148" spans="2:13" x14ac:dyDescent="0.25">
      <c r="B148">
        <v>49</v>
      </c>
      <c r="C148" s="7">
        <v>45189</v>
      </c>
      <c r="D148" t="s">
        <v>32</v>
      </c>
      <c r="E148" t="str">
        <f>IFERROR(VLOOKUP(VendasSem4[[#This Row],[Produto]],cálculos!$I$3:$L$50,4,0),"")</f>
        <v>Kg</v>
      </c>
      <c r="F148">
        <v>10</v>
      </c>
      <c r="G148" s="6">
        <f>IFERROR(VLOOKUP(VendasSem4[[#This Row],[Produto]],cálculos!$I$3:$L$50,3,0),0)</f>
        <v>2.4900000000000002</v>
      </c>
      <c r="H148" s="6">
        <f>IFERROR(VendasSem4[[#This Row],[Quantidade]]*VendasSem4[[#This Row],[Preço Unitário]],0)</f>
        <v>24.900000000000002</v>
      </c>
      <c r="I148" s="11"/>
      <c r="J148" t="s">
        <v>109</v>
      </c>
      <c r="K148" s="6">
        <f>IFERROR(IF(VendasSem4[[#This Row],[Id da Venda]]=B149,0,VLOOKUP(VendasSem4[[#This Row],[Região de Entrega]],cálculos!$B$5:$C$9,2,0)),0)</f>
        <v>0</v>
      </c>
      <c r="L148" s="6">
        <f>(VendasSem4[[#This Row],[Subtotal]]*(1-VendasSem4[[#This Row],[Desconto]])+VendasSem4[[#This Row],[Valor de Entrega]])</f>
        <v>24.900000000000002</v>
      </c>
      <c r="M148" s="6" t="str">
        <f>IF(VendasSem4[[#This Row],[Id da Venda]]=B149,"",SUMIF(VendasSem4[Id da Venda],VendasSem4[[#This Row],[Id da Venda]],VendasSem4[Total]))</f>
        <v/>
      </c>
    </row>
    <row r="149" spans="2:13" x14ac:dyDescent="0.25">
      <c r="B149">
        <v>49</v>
      </c>
      <c r="C149" s="7">
        <v>45189</v>
      </c>
      <c r="D149" t="s">
        <v>33</v>
      </c>
      <c r="E149" t="str">
        <f>IFERROR(VLOOKUP(VendasSem4[[#This Row],[Produto]],cálculos!$I$3:$L$50,4,0),"")</f>
        <v>Kg</v>
      </c>
      <c r="F149">
        <v>6</v>
      </c>
      <c r="G149" s="6">
        <f>IFERROR(VLOOKUP(VendasSem4[[#This Row],[Produto]],cálculos!$I$3:$L$50,3,0),0)</f>
        <v>4.28</v>
      </c>
      <c r="H149" s="6">
        <f>IFERROR(VendasSem4[[#This Row],[Quantidade]]*VendasSem4[[#This Row],[Preço Unitário]],0)</f>
        <v>25.68</v>
      </c>
      <c r="I149" s="11"/>
      <c r="J149" t="s">
        <v>109</v>
      </c>
      <c r="K149" s="6">
        <f>IFERROR(IF(VendasSem4[[#This Row],[Id da Venda]]=B150,0,VLOOKUP(VendasSem4[[#This Row],[Região de Entrega]],cálculos!$B$5:$C$9,2,0)),0)</f>
        <v>0</v>
      </c>
      <c r="L149" s="6">
        <f>(VendasSem4[[#This Row],[Subtotal]]*(1-VendasSem4[[#This Row],[Desconto]])+VendasSem4[[#This Row],[Valor de Entrega]])</f>
        <v>25.68</v>
      </c>
      <c r="M149" s="6" t="str">
        <f>IF(VendasSem4[[#This Row],[Id da Venda]]=B150,"",SUMIF(VendasSem4[Id da Venda],VendasSem4[[#This Row],[Id da Venda]],VendasSem4[Total]))</f>
        <v/>
      </c>
    </row>
    <row r="150" spans="2:13" x14ac:dyDescent="0.25">
      <c r="B150">
        <v>49</v>
      </c>
      <c r="C150" s="7">
        <v>45189</v>
      </c>
      <c r="D150" t="s">
        <v>37</v>
      </c>
      <c r="E150" t="str">
        <f>IFERROR(VLOOKUP(VendasSem4[[#This Row],[Produto]],cálculos!$I$3:$L$50,4,0),"")</f>
        <v>Kg</v>
      </c>
      <c r="F150">
        <v>3</v>
      </c>
      <c r="G150" s="6">
        <f>IFERROR(VLOOKUP(VendasSem4[[#This Row],[Produto]],cálculos!$I$3:$L$50,3,0),0)</f>
        <v>6.98</v>
      </c>
      <c r="H150" s="6">
        <f>IFERROR(VendasSem4[[#This Row],[Quantidade]]*VendasSem4[[#This Row],[Preço Unitário]],0)</f>
        <v>20.94</v>
      </c>
      <c r="I150" s="11"/>
      <c r="J150" t="s">
        <v>109</v>
      </c>
      <c r="K150" s="6">
        <f>IFERROR(IF(VendasSem4[[#This Row],[Id da Venda]]=B151,0,VLOOKUP(VendasSem4[[#This Row],[Região de Entrega]],cálculos!$B$5:$C$9,2,0)),0)</f>
        <v>0</v>
      </c>
      <c r="L150" s="6">
        <f>(VendasSem4[[#This Row],[Subtotal]]*(1-VendasSem4[[#This Row],[Desconto]])+VendasSem4[[#This Row],[Valor de Entrega]])</f>
        <v>20.94</v>
      </c>
      <c r="M150" s="6" t="str">
        <f>IF(VendasSem4[[#This Row],[Id da Venda]]=B151,"",SUMIF(VendasSem4[Id da Venda],VendasSem4[[#This Row],[Id da Venda]],VendasSem4[Total]))</f>
        <v/>
      </c>
    </row>
    <row r="151" spans="2:13" x14ac:dyDescent="0.25">
      <c r="B151">
        <v>49</v>
      </c>
      <c r="C151" s="7">
        <v>45189</v>
      </c>
      <c r="D151" t="s">
        <v>48</v>
      </c>
      <c r="E151" t="str">
        <f>IFERROR(VLOOKUP(VendasSem4[[#This Row],[Produto]],cálculos!$I$3:$L$50,4,0),"")</f>
        <v>Pacote</v>
      </c>
      <c r="F151">
        <v>2</v>
      </c>
      <c r="G151" s="6">
        <f>IFERROR(VLOOKUP(VendasSem4[[#This Row],[Produto]],cálculos!$I$3:$L$50,3,0),0)</f>
        <v>0.79</v>
      </c>
      <c r="H151" s="6">
        <f>IFERROR(VendasSem4[[#This Row],[Quantidade]]*VendasSem4[[#This Row],[Preço Unitário]],0)</f>
        <v>1.58</v>
      </c>
      <c r="I151" s="11"/>
      <c r="J151" t="s">
        <v>109</v>
      </c>
      <c r="K151" s="6">
        <f>IFERROR(IF(VendasSem4[[#This Row],[Id da Venda]]=B152,0,VLOOKUP(VendasSem4[[#This Row],[Região de Entrega]],cálculos!$B$5:$C$9,2,0)),0)</f>
        <v>0</v>
      </c>
      <c r="L151" s="6">
        <f>(VendasSem4[[#This Row],[Subtotal]]*(1-VendasSem4[[#This Row],[Desconto]])+VendasSem4[[#This Row],[Valor de Entrega]])</f>
        <v>1.58</v>
      </c>
      <c r="M151" s="6" t="str">
        <f>IF(VendasSem4[[#This Row],[Id da Venda]]=B152,"",SUMIF(VendasSem4[Id da Venda],VendasSem4[[#This Row],[Id da Venda]],VendasSem4[Total]))</f>
        <v/>
      </c>
    </row>
    <row r="152" spans="2:13" x14ac:dyDescent="0.25">
      <c r="B152">
        <v>49</v>
      </c>
      <c r="C152" s="7">
        <v>45189</v>
      </c>
      <c r="D152" t="s">
        <v>36</v>
      </c>
      <c r="E152" t="str">
        <f>IFERROR(VLOOKUP(VendasSem4[[#This Row],[Produto]],cálculos!$I$3:$L$50,4,0),"")</f>
        <v>Kg</v>
      </c>
      <c r="F152">
        <v>6</v>
      </c>
      <c r="G152" s="6">
        <f>IFERROR(VLOOKUP(VendasSem4[[#This Row],[Produto]],cálculos!$I$3:$L$50,3,0),0)</f>
        <v>15.9</v>
      </c>
      <c r="H152" s="6">
        <f>IFERROR(VendasSem4[[#This Row],[Quantidade]]*VendasSem4[[#This Row],[Preço Unitário]],0)</f>
        <v>95.4</v>
      </c>
      <c r="I152" s="11"/>
      <c r="J152" t="s">
        <v>109</v>
      </c>
      <c r="K152" s="6">
        <f>IFERROR(IF(VendasSem4[[#This Row],[Id da Venda]]=B153,0,VLOOKUP(VendasSem4[[#This Row],[Região de Entrega]],cálculos!$B$5:$C$9,2,0)),0)</f>
        <v>0</v>
      </c>
      <c r="L152" s="6">
        <f>(VendasSem4[[#This Row],[Subtotal]]*(1-VendasSem4[[#This Row],[Desconto]])+VendasSem4[[#This Row],[Valor de Entrega]])</f>
        <v>95.4</v>
      </c>
      <c r="M152" s="6" t="str">
        <f>IF(VendasSem4[[#This Row],[Id da Venda]]=B153,"",SUMIF(VendasSem4[Id da Venda],VendasSem4[[#This Row],[Id da Venda]],VendasSem4[Total]))</f>
        <v/>
      </c>
    </row>
    <row r="153" spans="2:13" x14ac:dyDescent="0.25">
      <c r="B153">
        <v>49</v>
      </c>
      <c r="C153" s="7">
        <v>45189</v>
      </c>
      <c r="D153" t="s">
        <v>66</v>
      </c>
      <c r="E153" t="str">
        <f>IFERROR(VLOOKUP(VendasSem4[[#This Row],[Produto]],cálculos!$I$3:$L$50,4,0),"")</f>
        <v>Litro</v>
      </c>
      <c r="F153">
        <v>3</v>
      </c>
      <c r="G153" s="6">
        <f>IFERROR(VLOOKUP(VendasSem4[[#This Row],[Produto]],cálculos!$I$3:$L$50,3,0),0)</f>
        <v>1.49</v>
      </c>
      <c r="H153" s="6">
        <f>IFERROR(VendasSem4[[#This Row],[Quantidade]]*VendasSem4[[#This Row],[Preço Unitário]],0)</f>
        <v>4.47</v>
      </c>
      <c r="I153" s="11"/>
      <c r="J153" t="s">
        <v>109</v>
      </c>
      <c r="K153" s="6">
        <f>IFERROR(IF(VendasSem4[[#This Row],[Id da Venda]]=B154,0,VLOOKUP(VendasSem4[[#This Row],[Região de Entrega]],cálculos!$B$5:$C$9,2,0)),0)</f>
        <v>0</v>
      </c>
      <c r="L153" s="6">
        <f>(VendasSem4[[#This Row],[Subtotal]]*(1-VendasSem4[[#This Row],[Desconto]])+VendasSem4[[#This Row],[Valor de Entrega]])</f>
        <v>4.47</v>
      </c>
      <c r="M153" s="6" t="str">
        <f>IF(VendasSem4[[#This Row],[Id da Venda]]=B154,"",SUMIF(VendasSem4[Id da Venda],VendasSem4[[#This Row],[Id da Venda]],VendasSem4[Total]))</f>
        <v/>
      </c>
    </row>
    <row r="154" spans="2:13" x14ac:dyDescent="0.25">
      <c r="B154">
        <v>49</v>
      </c>
      <c r="C154" s="7">
        <v>45189</v>
      </c>
      <c r="D154" t="s">
        <v>71</v>
      </c>
      <c r="E154" t="str">
        <f>IFERROR(VLOOKUP(VendasSem4[[#This Row],[Produto]],cálculos!$I$3:$L$50,4,0),"")</f>
        <v>Unidade</v>
      </c>
      <c r="F154">
        <v>2</v>
      </c>
      <c r="G154" s="6">
        <f>IFERROR(VLOOKUP(VendasSem4[[#This Row],[Produto]],cálculos!$I$3:$L$50,3,0),0)</f>
        <v>2.89</v>
      </c>
      <c r="H154" s="6">
        <f>IFERROR(VendasSem4[[#This Row],[Quantidade]]*VendasSem4[[#This Row],[Preço Unitário]],0)</f>
        <v>5.78</v>
      </c>
      <c r="I154" s="11"/>
      <c r="J154" t="s">
        <v>109</v>
      </c>
      <c r="K154" s="6">
        <f>IFERROR(IF(VendasSem4[[#This Row],[Id da Venda]]=B155,0,VLOOKUP(VendasSem4[[#This Row],[Região de Entrega]],cálculos!$B$5:$C$9,2,0)),0)</f>
        <v>0</v>
      </c>
      <c r="L154" s="6">
        <f>(VendasSem4[[#This Row],[Subtotal]]*(1-VendasSem4[[#This Row],[Desconto]])+VendasSem4[[#This Row],[Valor de Entrega]])</f>
        <v>5.78</v>
      </c>
      <c r="M154" s="6" t="str">
        <f>IF(VendasSem4[[#This Row],[Id da Venda]]=B155,"",SUMIF(VendasSem4[Id da Venda],VendasSem4[[#This Row],[Id da Venda]],VendasSem4[Total]))</f>
        <v/>
      </c>
    </row>
    <row r="155" spans="2:13" x14ac:dyDescent="0.25">
      <c r="B155">
        <v>49</v>
      </c>
      <c r="C155" s="7">
        <v>45189</v>
      </c>
      <c r="D155" t="s">
        <v>38</v>
      </c>
      <c r="E155" t="str">
        <f>IFERROR(VLOOKUP(VendasSem4[[#This Row],[Produto]],cálculos!$I$3:$L$50,4,0),"")</f>
        <v>Kg</v>
      </c>
      <c r="F155">
        <v>10</v>
      </c>
      <c r="G155" s="6">
        <f>IFERROR(VLOOKUP(VendasSem4[[#This Row],[Produto]],cálculos!$I$3:$L$50,3,0),0)</f>
        <v>23.9</v>
      </c>
      <c r="H155" s="6">
        <f>IFERROR(VendasSem4[[#This Row],[Quantidade]]*VendasSem4[[#This Row],[Preço Unitário]],0)</f>
        <v>239</v>
      </c>
      <c r="I155" s="11"/>
      <c r="J155" t="s">
        <v>109</v>
      </c>
      <c r="K155" s="6">
        <f>IFERROR(IF(VendasSem4[[#This Row],[Id da Venda]]=B156,0,VLOOKUP(VendasSem4[[#This Row],[Região de Entrega]],cálculos!$B$5:$C$9,2,0)),0)</f>
        <v>0</v>
      </c>
      <c r="L155" s="6">
        <f>(VendasSem4[[#This Row],[Subtotal]]*(1-VendasSem4[[#This Row],[Desconto]])+VendasSem4[[#This Row],[Valor de Entrega]])</f>
        <v>239</v>
      </c>
      <c r="M155" s="6" t="str">
        <f>IF(VendasSem4[[#This Row],[Id da Venda]]=B156,"",SUMIF(VendasSem4[Id da Venda],VendasSem4[[#This Row],[Id da Venda]],VendasSem4[Total]))</f>
        <v/>
      </c>
    </row>
    <row r="156" spans="2:13" x14ac:dyDescent="0.25">
      <c r="B156">
        <v>49</v>
      </c>
      <c r="C156" s="7">
        <v>45189</v>
      </c>
      <c r="D156" t="s">
        <v>121</v>
      </c>
      <c r="E156" t="str">
        <f>IFERROR(VLOOKUP(VendasSem4[[#This Row],[Produto]],cálculos!$I$3:$L$50,4,0),"")</f>
        <v>Kg</v>
      </c>
      <c r="F156">
        <v>2</v>
      </c>
      <c r="G156" s="6">
        <f>IFERROR(VLOOKUP(VendasSem4[[#This Row],[Produto]],cálculos!$I$3:$L$50,3,0),0)</f>
        <v>12</v>
      </c>
      <c r="H156" s="6">
        <f>IFERROR(VendasSem4[[#This Row],[Quantidade]]*VendasSem4[[#This Row],[Preço Unitário]],0)</f>
        <v>24</v>
      </c>
      <c r="I156" s="11"/>
      <c r="J156" t="s">
        <v>109</v>
      </c>
      <c r="K156" s="6">
        <f>IFERROR(IF(VendasSem4[[#This Row],[Id da Venda]]=B157,0,VLOOKUP(VendasSem4[[#This Row],[Região de Entrega]],cálculos!$B$5:$C$9,2,0)),0)</f>
        <v>0</v>
      </c>
      <c r="L156" s="6">
        <f>(VendasSem4[[#This Row],[Subtotal]]*(1-VendasSem4[[#This Row],[Desconto]])+VendasSem4[[#This Row],[Valor de Entrega]])</f>
        <v>24</v>
      </c>
      <c r="M156" s="6" t="str">
        <f>IF(VendasSem4[[#This Row],[Id da Venda]]=B157,"",SUMIF(VendasSem4[Id da Venda],VendasSem4[[#This Row],[Id da Venda]],VendasSem4[Total]))</f>
        <v/>
      </c>
    </row>
    <row r="157" spans="2:13" x14ac:dyDescent="0.25">
      <c r="B157">
        <v>49</v>
      </c>
      <c r="C157" s="7">
        <v>45189</v>
      </c>
      <c r="D157" t="s">
        <v>44</v>
      </c>
      <c r="E157" t="str">
        <f>IFERROR(VLOOKUP(VendasSem4[[#This Row],[Produto]],cálculos!$I$3:$L$50,4,0),"")</f>
        <v>Pacote</v>
      </c>
      <c r="F157">
        <v>1</v>
      </c>
      <c r="G157" s="6">
        <f>IFERROR(VLOOKUP(VendasSem4[[#This Row],[Produto]],cálculos!$I$3:$L$50,3,0),0)</f>
        <v>1.1499999999999999</v>
      </c>
      <c r="H157" s="6">
        <f>IFERROR(VendasSem4[[#This Row],[Quantidade]]*VendasSem4[[#This Row],[Preço Unitário]],0)</f>
        <v>1.1499999999999999</v>
      </c>
      <c r="I157" s="11"/>
      <c r="J157" t="s">
        <v>109</v>
      </c>
      <c r="K157" s="6">
        <f>IFERROR(IF(VendasSem4[[#This Row],[Id da Venda]]=B158,0,VLOOKUP(VendasSem4[[#This Row],[Região de Entrega]],cálculos!$B$5:$C$9,2,0)),0)</f>
        <v>0</v>
      </c>
      <c r="L157" s="6">
        <f>(VendasSem4[[#This Row],[Subtotal]]*(1-VendasSem4[[#This Row],[Desconto]])+VendasSem4[[#This Row],[Valor de Entrega]])</f>
        <v>1.1499999999999999</v>
      </c>
      <c r="M157" s="6" t="str">
        <f>IF(VendasSem4[[#This Row],[Id da Venda]]=B158,"",SUMIF(VendasSem4[Id da Venda],VendasSem4[[#This Row],[Id da Venda]],VendasSem4[Total]))</f>
        <v/>
      </c>
    </row>
    <row r="158" spans="2:13" x14ac:dyDescent="0.25">
      <c r="B158">
        <v>49</v>
      </c>
      <c r="C158" s="7">
        <v>45189</v>
      </c>
      <c r="D158" t="s">
        <v>41</v>
      </c>
      <c r="E158" t="str">
        <f>IFERROR(VLOOKUP(VendasSem4[[#This Row],[Produto]],cálculos!$I$3:$L$50,4,0),"")</f>
        <v>Litro</v>
      </c>
      <c r="F158">
        <v>5</v>
      </c>
      <c r="G158" s="6">
        <f>IFERROR(VLOOKUP(VendasSem4[[#This Row],[Produto]],cálculos!$I$3:$L$50,3,0),0)</f>
        <v>3.45</v>
      </c>
      <c r="H158" s="6">
        <f>IFERROR(VendasSem4[[#This Row],[Quantidade]]*VendasSem4[[#This Row],[Preço Unitário]],0)</f>
        <v>17.25</v>
      </c>
      <c r="I158" s="11"/>
      <c r="J158" t="s">
        <v>109</v>
      </c>
      <c r="K158" s="6">
        <f>IFERROR(IF(VendasSem4[[#This Row],[Id da Venda]]=B159,0,VLOOKUP(VendasSem4[[#This Row],[Região de Entrega]],cálculos!$B$5:$C$9,2,0)),0)</f>
        <v>0</v>
      </c>
      <c r="L158" s="6">
        <f>(VendasSem4[[#This Row],[Subtotal]]*(1-VendasSem4[[#This Row],[Desconto]])+VendasSem4[[#This Row],[Valor de Entrega]])</f>
        <v>17.25</v>
      </c>
      <c r="M158" s="6" t="str">
        <f>IF(VendasSem4[[#This Row],[Id da Venda]]=B159,"",SUMIF(VendasSem4[Id da Venda],VendasSem4[[#This Row],[Id da Venda]],VendasSem4[Total]))</f>
        <v/>
      </c>
    </row>
    <row r="159" spans="2:13" x14ac:dyDescent="0.25">
      <c r="B159">
        <v>49</v>
      </c>
      <c r="C159" s="7">
        <v>45189</v>
      </c>
      <c r="D159" t="s">
        <v>39</v>
      </c>
      <c r="E159" t="str">
        <f>IFERROR(VLOOKUP(VendasSem4[[#This Row],[Produto]],cálculos!$I$3:$L$50,4,0),"")</f>
        <v>Kg</v>
      </c>
      <c r="F159">
        <v>0.8</v>
      </c>
      <c r="G159" s="6">
        <f>IFERROR(VLOOKUP(VendasSem4[[#This Row],[Produto]],cálculos!$I$3:$L$50,3,0),0)</f>
        <v>25.9</v>
      </c>
      <c r="H159" s="6">
        <f>IFERROR(VendasSem4[[#This Row],[Quantidade]]*VendasSem4[[#This Row],[Preço Unitário]],0)</f>
        <v>20.72</v>
      </c>
      <c r="I159" s="11"/>
      <c r="J159" t="s">
        <v>109</v>
      </c>
      <c r="K159" s="6">
        <f>IFERROR(IF(VendasSem4[[#This Row],[Id da Venda]]=B160,0,VLOOKUP(VendasSem4[[#This Row],[Região de Entrega]],cálculos!$B$5:$C$9,2,0)),0)</f>
        <v>0</v>
      </c>
      <c r="L159" s="6">
        <f>(VendasSem4[[#This Row],[Subtotal]]*(1-VendasSem4[[#This Row],[Desconto]])+VendasSem4[[#This Row],[Valor de Entrega]])</f>
        <v>20.72</v>
      </c>
      <c r="M159" s="6">
        <f>IF(VendasSem4[[#This Row],[Id da Venda]]=B160,"",SUMIF(VendasSem4[Id da Venda],VendasSem4[[#This Row],[Id da Venda]],VendasSem4[Total]))</f>
        <v>480.87</v>
      </c>
    </row>
    <row r="160" spans="2:13" x14ac:dyDescent="0.25">
      <c r="B160">
        <v>50</v>
      </c>
      <c r="C160" s="7">
        <v>45189</v>
      </c>
      <c r="D160" t="s">
        <v>32</v>
      </c>
      <c r="E160" t="str">
        <f>IFERROR(VLOOKUP(VendasSem4[[#This Row],[Produto]],cálculos!$I$3:$L$50,4,0),"")</f>
        <v>Kg</v>
      </c>
      <c r="F160">
        <v>15</v>
      </c>
      <c r="G160" s="6">
        <f>IFERROR(VLOOKUP(VendasSem4[[#This Row],[Produto]],cálculos!$I$3:$L$50,3,0),0)</f>
        <v>2.4900000000000002</v>
      </c>
      <c r="H160" s="6">
        <f>IFERROR(VendasSem4[[#This Row],[Quantidade]]*VendasSem4[[#This Row],[Preço Unitário]],0)</f>
        <v>37.35</v>
      </c>
      <c r="I160" s="11"/>
      <c r="J160" t="s">
        <v>108</v>
      </c>
      <c r="K160" s="6">
        <f>IFERROR(IF(VendasSem4[[#This Row],[Id da Venda]]=B161,0,VLOOKUP(VendasSem4[[#This Row],[Região de Entrega]],cálculos!$B$5:$C$9,2,0)),0)</f>
        <v>0</v>
      </c>
      <c r="L160" s="6">
        <f>(VendasSem4[[#This Row],[Subtotal]]*(1-VendasSem4[[#This Row],[Desconto]])+VendasSem4[[#This Row],[Valor de Entrega]])</f>
        <v>37.35</v>
      </c>
      <c r="M160" s="6" t="str">
        <f>IF(VendasSem4[[#This Row],[Id da Venda]]=B161,"",SUMIF(VendasSem4[Id da Venda],VendasSem4[[#This Row],[Id da Venda]],VendasSem4[Total]))</f>
        <v/>
      </c>
    </row>
    <row r="161" spans="2:13" x14ac:dyDescent="0.25">
      <c r="B161">
        <v>50</v>
      </c>
      <c r="C161" s="7">
        <v>45189</v>
      </c>
      <c r="D161" t="s">
        <v>33</v>
      </c>
      <c r="E161" t="str">
        <f>IFERROR(VLOOKUP(VendasSem4[[#This Row],[Produto]],cálculos!$I$3:$L$50,4,0),"")</f>
        <v>Kg</v>
      </c>
      <c r="F161">
        <v>6</v>
      </c>
      <c r="G161" s="6">
        <f>IFERROR(VLOOKUP(VendasSem4[[#This Row],[Produto]],cálculos!$I$3:$L$50,3,0),0)</f>
        <v>4.28</v>
      </c>
      <c r="H161" s="6">
        <f>IFERROR(VendasSem4[[#This Row],[Quantidade]]*VendasSem4[[#This Row],[Preço Unitário]],0)</f>
        <v>25.68</v>
      </c>
      <c r="I161" s="11"/>
      <c r="J161" t="s">
        <v>108</v>
      </c>
      <c r="K161" s="6">
        <f>IFERROR(IF(VendasSem4[[#This Row],[Id da Venda]]=B162,0,VLOOKUP(VendasSem4[[#This Row],[Região de Entrega]],cálculos!$B$5:$C$9,2,0)),0)</f>
        <v>0</v>
      </c>
      <c r="L161" s="6">
        <f>(VendasSem4[[#This Row],[Subtotal]]*(1-VendasSem4[[#This Row],[Desconto]])+VendasSem4[[#This Row],[Valor de Entrega]])</f>
        <v>25.68</v>
      </c>
      <c r="M161" s="6" t="str">
        <f>IF(VendasSem4[[#This Row],[Id da Venda]]=B162,"",SUMIF(VendasSem4[Id da Venda],VendasSem4[[#This Row],[Id da Venda]],VendasSem4[Total]))</f>
        <v/>
      </c>
    </row>
    <row r="162" spans="2:13" x14ac:dyDescent="0.25">
      <c r="B162">
        <v>50</v>
      </c>
      <c r="C162" s="7">
        <v>45189</v>
      </c>
      <c r="D162" t="s">
        <v>37</v>
      </c>
      <c r="E162" t="str">
        <f>IFERROR(VLOOKUP(VendasSem4[[#This Row],[Produto]],cálculos!$I$3:$L$50,4,0),"")</f>
        <v>Kg</v>
      </c>
      <c r="F162">
        <v>4</v>
      </c>
      <c r="G162" s="6">
        <f>IFERROR(VLOOKUP(VendasSem4[[#This Row],[Produto]],cálculos!$I$3:$L$50,3,0),0)</f>
        <v>6.98</v>
      </c>
      <c r="H162" s="6">
        <f>IFERROR(VendasSem4[[#This Row],[Quantidade]]*VendasSem4[[#This Row],[Preço Unitário]],0)</f>
        <v>27.92</v>
      </c>
      <c r="I162" s="11"/>
      <c r="J162" t="s">
        <v>108</v>
      </c>
      <c r="K162" s="6">
        <f>IFERROR(IF(VendasSem4[[#This Row],[Id da Venda]]=B163,0,VLOOKUP(VendasSem4[[#This Row],[Região de Entrega]],cálculos!$B$5:$C$9,2,0)),0)</f>
        <v>0</v>
      </c>
      <c r="L162" s="6">
        <f>(VendasSem4[[#This Row],[Subtotal]]*(1-VendasSem4[[#This Row],[Desconto]])+VendasSem4[[#This Row],[Valor de Entrega]])</f>
        <v>27.92</v>
      </c>
      <c r="M162" s="6" t="str">
        <f>IF(VendasSem4[[#This Row],[Id da Venda]]=B163,"",SUMIF(VendasSem4[Id da Venda],VendasSem4[[#This Row],[Id da Venda]],VendasSem4[Total]))</f>
        <v/>
      </c>
    </row>
    <row r="163" spans="2:13" x14ac:dyDescent="0.25">
      <c r="B163">
        <v>50</v>
      </c>
      <c r="C163" s="7">
        <v>45189</v>
      </c>
      <c r="D163" t="s">
        <v>38</v>
      </c>
      <c r="E163" t="str">
        <f>IFERROR(VLOOKUP(VendasSem4[[#This Row],[Produto]],cálculos!$I$3:$L$50,4,0),"")</f>
        <v>Kg</v>
      </c>
      <c r="F163">
        <v>2</v>
      </c>
      <c r="G163" s="6">
        <f>IFERROR(VLOOKUP(VendasSem4[[#This Row],[Produto]],cálculos!$I$3:$L$50,3,0),0)</f>
        <v>23.9</v>
      </c>
      <c r="H163" s="6">
        <f>IFERROR(VendasSem4[[#This Row],[Quantidade]]*VendasSem4[[#This Row],[Preço Unitário]],0)</f>
        <v>47.8</v>
      </c>
      <c r="I163" s="11"/>
      <c r="J163" t="s">
        <v>108</v>
      </c>
      <c r="K163" s="6">
        <f>IFERROR(IF(VendasSem4[[#This Row],[Id da Venda]]=B164,0,VLOOKUP(VendasSem4[[#This Row],[Região de Entrega]],cálculos!$B$5:$C$9,2,0)),0)</f>
        <v>0</v>
      </c>
      <c r="L163" s="6">
        <f>(VendasSem4[[#This Row],[Subtotal]]*(1-VendasSem4[[#This Row],[Desconto]])+VendasSem4[[#This Row],[Valor de Entrega]])</f>
        <v>47.8</v>
      </c>
      <c r="M163" s="6" t="str">
        <f>IF(VendasSem4[[#This Row],[Id da Venda]]=B164,"",SUMIF(VendasSem4[Id da Venda],VendasSem4[[#This Row],[Id da Venda]],VendasSem4[Total]))</f>
        <v/>
      </c>
    </row>
    <row r="164" spans="2:13" x14ac:dyDescent="0.25">
      <c r="B164">
        <v>50</v>
      </c>
      <c r="C164" s="7">
        <v>45189</v>
      </c>
      <c r="D164" t="s">
        <v>35</v>
      </c>
      <c r="E164" t="str">
        <f>IFERROR(VLOOKUP(VendasSem4[[#This Row],[Produto]],cálculos!$I$3:$L$50,4,0),"")</f>
        <v>Unidade</v>
      </c>
      <c r="F164">
        <v>2</v>
      </c>
      <c r="G164" s="6">
        <f>IFERROR(VLOOKUP(VendasSem4[[#This Row],[Produto]],cálculos!$I$3:$L$50,3,0),0)</f>
        <v>2.99</v>
      </c>
      <c r="H164" s="6">
        <f>IFERROR(VendasSem4[[#This Row],[Quantidade]]*VendasSem4[[#This Row],[Preço Unitário]],0)</f>
        <v>5.98</v>
      </c>
      <c r="I164" s="11"/>
      <c r="J164" t="s">
        <v>108</v>
      </c>
      <c r="K164" s="6">
        <f>IFERROR(IF(VendasSem4[[#This Row],[Id da Venda]]=B165,0,VLOOKUP(VendasSem4[[#This Row],[Região de Entrega]],cálculos!$B$5:$C$9,2,0)),0)</f>
        <v>0</v>
      </c>
      <c r="L164" s="6">
        <f>(VendasSem4[[#This Row],[Subtotal]]*(1-VendasSem4[[#This Row],[Desconto]])+VendasSem4[[#This Row],[Valor de Entrega]])</f>
        <v>5.98</v>
      </c>
      <c r="M164" s="6" t="str">
        <f>IF(VendasSem4[[#This Row],[Id da Venda]]=B165,"",SUMIF(VendasSem4[Id da Venda],VendasSem4[[#This Row],[Id da Venda]],VendasSem4[Total]))</f>
        <v/>
      </c>
    </row>
    <row r="165" spans="2:13" x14ac:dyDescent="0.25">
      <c r="B165">
        <v>50</v>
      </c>
      <c r="C165" s="7">
        <v>45189</v>
      </c>
      <c r="D165" t="s">
        <v>42</v>
      </c>
      <c r="E165" t="str">
        <f>IFERROR(VLOOKUP(VendasSem4[[#This Row],[Produto]],cálculos!$I$3:$L$50,4,0),"")</f>
        <v>Kg</v>
      </c>
      <c r="F165">
        <v>2</v>
      </c>
      <c r="G165" s="6">
        <f>IFERROR(VLOOKUP(VendasSem4[[#This Row],[Produto]],cálculos!$I$3:$L$50,3,0),0)</f>
        <v>3.99</v>
      </c>
      <c r="H165" s="6">
        <f>IFERROR(VendasSem4[[#This Row],[Quantidade]]*VendasSem4[[#This Row],[Preço Unitário]],0)</f>
        <v>7.98</v>
      </c>
      <c r="I165" s="11"/>
      <c r="J165" t="s">
        <v>108</v>
      </c>
      <c r="K165" s="6">
        <f>IFERROR(IF(VendasSem4[[#This Row],[Id da Venda]]=B166,0,VLOOKUP(VendasSem4[[#This Row],[Região de Entrega]],cálculos!$B$5:$C$9,2,0)),0)</f>
        <v>0</v>
      </c>
      <c r="L165" s="6">
        <f>(VendasSem4[[#This Row],[Subtotal]]*(1-VendasSem4[[#This Row],[Desconto]])+VendasSem4[[#This Row],[Valor de Entrega]])</f>
        <v>7.98</v>
      </c>
      <c r="M165" s="6" t="str">
        <f>IF(VendasSem4[[#This Row],[Id da Venda]]=B166,"",SUMIF(VendasSem4[Id da Venda],VendasSem4[[#This Row],[Id da Venda]],VendasSem4[Total]))</f>
        <v/>
      </c>
    </row>
    <row r="166" spans="2:13" x14ac:dyDescent="0.25">
      <c r="B166">
        <v>50</v>
      </c>
      <c r="C166" s="7">
        <v>45189</v>
      </c>
      <c r="D166" t="s">
        <v>57</v>
      </c>
      <c r="E166" t="str">
        <f>IFERROR(VLOOKUP(VendasSem4[[#This Row],[Produto]],cálculos!$I$3:$L$50,4,0),"")</f>
        <v>Barra</v>
      </c>
      <c r="F166">
        <v>2</v>
      </c>
      <c r="G166" s="6">
        <f>IFERROR(VLOOKUP(VendasSem4[[#This Row],[Produto]],cálculos!$I$3:$L$50,3,0),0)</f>
        <v>4.99</v>
      </c>
      <c r="H166" s="6">
        <f>IFERROR(VendasSem4[[#This Row],[Quantidade]]*VendasSem4[[#This Row],[Preço Unitário]],0)</f>
        <v>9.98</v>
      </c>
      <c r="I166" s="11"/>
      <c r="J166" t="s">
        <v>108</v>
      </c>
      <c r="K166" s="6">
        <f>IFERROR(IF(VendasSem4[[#This Row],[Id da Venda]]=B167,0,VLOOKUP(VendasSem4[[#This Row],[Região de Entrega]],cálculos!$B$5:$C$9,2,0)),0)</f>
        <v>0</v>
      </c>
      <c r="L166" s="6">
        <f>(VendasSem4[[#This Row],[Subtotal]]*(1-VendasSem4[[#This Row],[Desconto]])+VendasSem4[[#This Row],[Valor de Entrega]])</f>
        <v>9.98</v>
      </c>
      <c r="M166" s="6" t="str">
        <f>IF(VendasSem4[[#This Row],[Id da Venda]]=B167,"",SUMIF(VendasSem4[Id da Venda],VendasSem4[[#This Row],[Id da Venda]],VendasSem4[Total]))</f>
        <v/>
      </c>
    </row>
    <row r="167" spans="2:13" x14ac:dyDescent="0.25">
      <c r="B167">
        <v>50</v>
      </c>
      <c r="C167" s="7">
        <v>45189</v>
      </c>
      <c r="D167" t="s">
        <v>120</v>
      </c>
      <c r="E167" t="str">
        <f>IFERROR(VLOOKUP(VendasSem4[[#This Row],[Produto]],cálculos!$I$3:$L$50,4,0),"")</f>
        <v>Kg</v>
      </c>
      <c r="F167">
        <v>3</v>
      </c>
      <c r="G167" s="6">
        <f>IFERROR(VLOOKUP(VendasSem4[[#This Row],[Produto]],cálculos!$I$3:$L$50,3,0),0)</f>
        <v>4.5</v>
      </c>
      <c r="H167" s="6">
        <f>IFERROR(VendasSem4[[#This Row],[Quantidade]]*VendasSem4[[#This Row],[Preço Unitário]],0)</f>
        <v>13.5</v>
      </c>
      <c r="I167" s="11"/>
      <c r="J167" t="s">
        <v>108</v>
      </c>
      <c r="K167" s="6">
        <f>IFERROR(IF(VendasSem4[[#This Row],[Id da Venda]]=B168,0,VLOOKUP(VendasSem4[[#This Row],[Região de Entrega]],cálculos!$B$5:$C$9,2,0)),0)</f>
        <v>0</v>
      </c>
      <c r="L167" s="6">
        <f>(VendasSem4[[#This Row],[Subtotal]]*(1-VendasSem4[[#This Row],[Desconto]])+VendasSem4[[#This Row],[Valor de Entrega]])</f>
        <v>13.5</v>
      </c>
      <c r="M167" s="6" t="str">
        <f>IF(VendasSem4[[#This Row],[Id da Venda]]=B168,"",SUMIF(VendasSem4[Id da Venda],VendasSem4[[#This Row],[Id da Venda]],VendasSem4[Total]))</f>
        <v/>
      </c>
    </row>
    <row r="168" spans="2:13" x14ac:dyDescent="0.25">
      <c r="B168">
        <v>50</v>
      </c>
      <c r="C168" s="7">
        <v>45189</v>
      </c>
      <c r="D168" t="s">
        <v>134</v>
      </c>
      <c r="E168" t="str">
        <f>IFERROR(VLOOKUP(VendasSem4[[#This Row],[Produto]],cálculos!$I$3:$L$50,4,0),"")</f>
        <v>Kg</v>
      </c>
      <c r="F168">
        <v>2</v>
      </c>
      <c r="G168" s="6">
        <f>IFERROR(VLOOKUP(VendasSem4[[#This Row],[Produto]],cálculos!$I$3:$L$50,3,0),0)</f>
        <v>24</v>
      </c>
      <c r="H168" s="6">
        <f>IFERROR(VendasSem4[[#This Row],[Quantidade]]*VendasSem4[[#This Row],[Preço Unitário]],0)</f>
        <v>48</v>
      </c>
      <c r="I168" s="11"/>
      <c r="J168" t="s">
        <v>108</v>
      </c>
      <c r="K168" s="6">
        <f>IFERROR(IF(VendasSem4[[#This Row],[Id da Venda]]=B169,0,VLOOKUP(VendasSem4[[#This Row],[Região de Entrega]],cálculos!$B$5:$C$9,2,0)),0)</f>
        <v>0</v>
      </c>
      <c r="L168" s="6">
        <f>(VendasSem4[[#This Row],[Subtotal]]*(1-VendasSem4[[#This Row],[Desconto]])+VendasSem4[[#This Row],[Valor de Entrega]])</f>
        <v>48</v>
      </c>
      <c r="M168" s="6" t="str">
        <f>IF(VendasSem4[[#This Row],[Id da Venda]]=B169,"",SUMIF(VendasSem4[Id da Venda],VendasSem4[[#This Row],[Id da Venda]],VendasSem4[Total]))</f>
        <v/>
      </c>
    </row>
    <row r="169" spans="2:13" x14ac:dyDescent="0.25">
      <c r="B169">
        <v>50</v>
      </c>
      <c r="C169" s="7">
        <v>45189</v>
      </c>
      <c r="D169" t="s">
        <v>43</v>
      </c>
      <c r="E169" t="str">
        <f>IFERROR(VLOOKUP(VendasSem4[[#This Row],[Produto]],cálculos!$I$3:$L$50,4,0),"")</f>
        <v>Kg</v>
      </c>
      <c r="F169">
        <v>2</v>
      </c>
      <c r="G169" s="6">
        <f>IFERROR(VLOOKUP(VendasSem4[[#This Row],[Produto]],cálculos!$I$3:$L$50,3,0),0)</f>
        <v>9.58</v>
      </c>
      <c r="H169" s="6">
        <f>IFERROR(VendasSem4[[#This Row],[Quantidade]]*VendasSem4[[#This Row],[Preço Unitário]],0)</f>
        <v>19.16</v>
      </c>
      <c r="I169" s="11"/>
      <c r="J169" t="s">
        <v>108</v>
      </c>
      <c r="K169" s="6">
        <f>IFERROR(IF(VendasSem4[[#This Row],[Id da Venda]]=B170,0,VLOOKUP(VendasSem4[[#This Row],[Região de Entrega]],cálculos!$B$5:$C$9,2,0)),0)</f>
        <v>0</v>
      </c>
      <c r="L169" s="6">
        <f>(VendasSem4[[#This Row],[Subtotal]]*(1-VendasSem4[[#This Row],[Desconto]])+VendasSem4[[#This Row],[Valor de Entrega]])</f>
        <v>19.16</v>
      </c>
      <c r="M169" s="6" t="str">
        <f>IF(VendasSem4[[#This Row],[Id da Venda]]=B170,"",SUMIF(VendasSem4[Id da Venda],VendasSem4[[#This Row],[Id da Venda]],VendasSem4[Total]))</f>
        <v/>
      </c>
    </row>
    <row r="170" spans="2:13" x14ac:dyDescent="0.25">
      <c r="B170">
        <v>50</v>
      </c>
      <c r="C170" s="7">
        <v>45189</v>
      </c>
      <c r="D170" t="s">
        <v>131</v>
      </c>
      <c r="E170" t="str">
        <f>IFERROR(VLOOKUP(VendasSem4[[#This Row],[Produto]],cálculos!$I$3:$L$50,4,0),"")</f>
        <v>Kg</v>
      </c>
      <c r="F170">
        <v>1</v>
      </c>
      <c r="G170" s="6">
        <f>IFERROR(VLOOKUP(VendasSem4[[#This Row],[Produto]],cálculos!$I$3:$L$50,3,0),0)</f>
        <v>3</v>
      </c>
      <c r="H170" s="6">
        <f>IFERROR(VendasSem4[[#This Row],[Quantidade]]*VendasSem4[[#This Row],[Preço Unitário]],0)</f>
        <v>3</v>
      </c>
      <c r="I170" s="11"/>
      <c r="J170" t="s">
        <v>108</v>
      </c>
      <c r="K170" s="6">
        <f>IFERROR(IF(VendasSem4[[#This Row],[Id da Venda]]=B171,0,VLOOKUP(VendasSem4[[#This Row],[Região de Entrega]],cálculos!$B$5:$C$9,2,0)),0)</f>
        <v>10</v>
      </c>
      <c r="L170" s="6">
        <f>(VendasSem4[[#This Row],[Subtotal]]*(1-VendasSem4[[#This Row],[Desconto]])+VendasSem4[[#This Row],[Valor de Entrega]])</f>
        <v>13</v>
      </c>
      <c r="M170" s="6">
        <f>IF(VendasSem4[[#This Row],[Id da Venda]]=B171,"",SUMIF(VendasSem4[Id da Venda],VendasSem4[[#This Row],[Id da Venda]],VendasSem4[Total]))</f>
        <v>256.34999999999997</v>
      </c>
    </row>
    <row r="171" spans="2:13" x14ac:dyDescent="0.25">
      <c r="B171">
        <v>51</v>
      </c>
      <c r="C171" s="7">
        <v>45189</v>
      </c>
      <c r="D171" t="s">
        <v>40</v>
      </c>
      <c r="E171" t="str">
        <f>IFERROR(VLOOKUP(VendasSem4[[#This Row],[Produto]],cálculos!$I$3:$L$50,4,0),"")</f>
        <v>Garrafa</v>
      </c>
      <c r="F171">
        <v>100</v>
      </c>
      <c r="G171" s="6">
        <f>IFERROR(VLOOKUP(VendasSem4[[#This Row],[Produto]],cálculos!$I$3:$L$50,3,0),0)</f>
        <v>29.9</v>
      </c>
      <c r="H171" s="6">
        <f>IFERROR(VendasSem4[[#This Row],[Quantidade]]*VendasSem4[[#This Row],[Preço Unitário]],0)</f>
        <v>2990</v>
      </c>
      <c r="I171" s="11"/>
      <c r="J171" t="s">
        <v>108</v>
      </c>
      <c r="K171" s="6">
        <f>IFERROR(IF(VendasSem4[[#This Row],[Id da Venda]]=B172,0,VLOOKUP(VendasSem4[[#This Row],[Região de Entrega]],cálculos!$B$5:$C$9,2,0)),0)</f>
        <v>0</v>
      </c>
      <c r="L171" s="6">
        <f>(VendasSem4[[#This Row],[Subtotal]]*(1-VendasSem4[[#This Row],[Desconto]])+VendasSem4[[#This Row],[Valor de Entrega]])</f>
        <v>2990</v>
      </c>
      <c r="M171" s="6" t="str">
        <f>IF(VendasSem4[[#This Row],[Id da Venda]]=B172,"",SUMIF(VendasSem4[Id da Venda],VendasSem4[[#This Row],[Id da Venda]],VendasSem4[Total]))</f>
        <v/>
      </c>
    </row>
    <row r="172" spans="2:13" x14ac:dyDescent="0.25">
      <c r="B172">
        <v>51</v>
      </c>
      <c r="C172" s="7">
        <v>45189</v>
      </c>
      <c r="D172" t="s">
        <v>46</v>
      </c>
      <c r="E172" t="str">
        <f>IFERROR(VLOOKUP(VendasSem4[[#This Row],[Produto]],cálculos!$I$3:$L$50,4,0),"")</f>
        <v>Garrafa</v>
      </c>
      <c r="F172">
        <v>50</v>
      </c>
      <c r="G172" s="6">
        <f>IFERROR(VLOOKUP(VendasSem4[[#This Row],[Produto]],cálculos!$I$3:$L$50,3,0),0)</f>
        <v>54.9</v>
      </c>
      <c r="H172" s="6">
        <f>IFERROR(VendasSem4[[#This Row],[Quantidade]]*VendasSem4[[#This Row],[Preço Unitário]],0)</f>
        <v>2745</v>
      </c>
      <c r="I172" s="11">
        <v>0.05</v>
      </c>
      <c r="J172" t="s">
        <v>108</v>
      </c>
      <c r="K172" s="6">
        <f>IFERROR(IF(VendasSem4[[#This Row],[Id da Venda]]=B173,0,VLOOKUP(VendasSem4[[#This Row],[Região de Entrega]],cálculos!$B$5:$C$9,2,0)),0)</f>
        <v>0</v>
      </c>
      <c r="L172" s="6">
        <f>(VendasSem4[[#This Row],[Subtotal]]*(1-VendasSem4[[#This Row],[Desconto]])+VendasSem4[[#This Row],[Valor de Entrega]])</f>
        <v>2607.75</v>
      </c>
      <c r="M172" s="6" t="str">
        <f>IF(VendasSem4[[#This Row],[Id da Venda]]=B173,"",SUMIF(VendasSem4[Id da Venda],VendasSem4[[#This Row],[Id da Venda]],VendasSem4[Total]))</f>
        <v/>
      </c>
    </row>
    <row r="173" spans="2:13" x14ac:dyDescent="0.25">
      <c r="B173">
        <v>51</v>
      </c>
      <c r="C173" s="7">
        <v>45189</v>
      </c>
      <c r="D173" t="s">
        <v>45</v>
      </c>
      <c r="E173" t="str">
        <f>IFERROR(VLOOKUP(VendasSem4[[#This Row],[Produto]],cálculos!$I$3:$L$50,4,0),"")</f>
        <v>Lata</v>
      </c>
      <c r="F173">
        <v>150</v>
      </c>
      <c r="G173" s="6">
        <f>IFERROR(VLOOKUP(VendasSem4[[#This Row],[Produto]],cálculos!$I$3:$L$50,3,0),0)</f>
        <v>2.19</v>
      </c>
      <c r="H173" s="6">
        <f>IFERROR(VendasSem4[[#This Row],[Quantidade]]*VendasSem4[[#This Row],[Preço Unitário]],0)</f>
        <v>328.5</v>
      </c>
      <c r="I173" s="11"/>
      <c r="J173" t="s">
        <v>108</v>
      </c>
      <c r="K173" s="6">
        <f>IFERROR(IF(VendasSem4[[#This Row],[Id da Venda]]=B174,0,VLOOKUP(VendasSem4[[#This Row],[Região de Entrega]],cálculos!$B$5:$C$9,2,0)),0)</f>
        <v>0</v>
      </c>
      <c r="L173" s="6">
        <f>(VendasSem4[[#This Row],[Subtotal]]*(1-VendasSem4[[#This Row],[Desconto]])+VendasSem4[[#This Row],[Valor de Entrega]])</f>
        <v>328.5</v>
      </c>
      <c r="M173" s="6" t="str">
        <f>IF(VendasSem4[[#This Row],[Id da Venda]]=B174,"",SUMIF(VendasSem4[Id da Venda],VendasSem4[[#This Row],[Id da Venda]],VendasSem4[Total]))</f>
        <v/>
      </c>
    </row>
    <row r="174" spans="2:13" x14ac:dyDescent="0.25">
      <c r="B174">
        <v>51</v>
      </c>
      <c r="C174" s="7">
        <v>45189</v>
      </c>
      <c r="D174" t="s">
        <v>72</v>
      </c>
      <c r="E174" t="str">
        <f>IFERROR(VLOOKUP(VendasSem4[[#This Row],[Produto]],cálculos!$I$3:$L$50,4,0),"")</f>
        <v>Litro</v>
      </c>
      <c r="F174">
        <v>50</v>
      </c>
      <c r="G174" s="6">
        <f>IFERROR(VLOOKUP(VendasSem4[[#This Row],[Produto]],cálculos!$I$3:$L$50,3,0),0)</f>
        <v>2.39</v>
      </c>
      <c r="H174" s="6">
        <f>IFERROR(VendasSem4[[#This Row],[Quantidade]]*VendasSem4[[#This Row],[Preço Unitário]],0)</f>
        <v>119.5</v>
      </c>
      <c r="I174" s="11"/>
      <c r="J174" t="s">
        <v>108</v>
      </c>
      <c r="K174" s="6">
        <f>IFERROR(IF(VendasSem4[[#This Row],[Id da Venda]]=B175,0,VLOOKUP(VendasSem4[[#This Row],[Região de Entrega]],cálculos!$B$5:$C$9,2,0)),0)</f>
        <v>0</v>
      </c>
      <c r="L174" s="6">
        <f>(VendasSem4[[#This Row],[Subtotal]]*(1-VendasSem4[[#This Row],[Desconto]])+VendasSem4[[#This Row],[Valor de Entrega]])</f>
        <v>119.5</v>
      </c>
      <c r="M174" s="6" t="str">
        <f>IF(VendasSem4[[#This Row],[Id da Venda]]=B175,"",SUMIF(VendasSem4[Id da Venda],VendasSem4[[#This Row],[Id da Venda]],VendasSem4[Total]))</f>
        <v/>
      </c>
    </row>
    <row r="175" spans="2:13" x14ac:dyDescent="0.25">
      <c r="B175">
        <v>51</v>
      </c>
      <c r="C175" s="7">
        <v>45189</v>
      </c>
      <c r="D175" t="s">
        <v>66</v>
      </c>
      <c r="E175" t="str">
        <f>IFERROR(VLOOKUP(VendasSem4[[#This Row],[Produto]],cálculos!$I$3:$L$50,4,0),"")</f>
        <v>Litro</v>
      </c>
      <c r="F175">
        <v>15</v>
      </c>
      <c r="G175" s="6">
        <f>IFERROR(VLOOKUP(VendasSem4[[#This Row],[Produto]],cálculos!$I$3:$L$50,3,0),0)</f>
        <v>1.49</v>
      </c>
      <c r="H175" s="6">
        <f>IFERROR(VendasSem4[[#This Row],[Quantidade]]*VendasSem4[[#This Row],[Preço Unitário]],0)</f>
        <v>22.35</v>
      </c>
      <c r="I175" s="11"/>
      <c r="J175" t="s">
        <v>108</v>
      </c>
      <c r="K175" s="6">
        <f>IFERROR(IF(VendasSem4[[#This Row],[Id da Venda]]=B176,0,VLOOKUP(VendasSem4[[#This Row],[Região de Entrega]],cálculos!$B$5:$C$9,2,0)),0)</f>
        <v>10</v>
      </c>
      <c r="L175" s="6">
        <f>(VendasSem4[[#This Row],[Subtotal]]*(1-VendasSem4[[#This Row],[Desconto]])+VendasSem4[[#This Row],[Valor de Entrega]])</f>
        <v>32.35</v>
      </c>
      <c r="M175" s="6">
        <f>IF(VendasSem4[[#This Row],[Id da Venda]]=B176,"",SUMIF(VendasSem4[Id da Venda],VendasSem4[[#This Row],[Id da Venda]],VendasSem4[Total]))</f>
        <v>6078.1</v>
      </c>
    </row>
    <row r="176" spans="2:13" x14ac:dyDescent="0.25">
      <c r="B176">
        <v>52</v>
      </c>
      <c r="C176" s="7">
        <v>45189</v>
      </c>
      <c r="D176" t="s">
        <v>32</v>
      </c>
      <c r="E176" t="str">
        <f>IFERROR(VLOOKUP(VendasSem4[[#This Row],[Produto]],cálculos!$I$3:$L$50,4,0),"")</f>
        <v>Kg</v>
      </c>
      <c r="F176">
        <v>20</v>
      </c>
      <c r="G176" s="6">
        <f>IFERROR(VLOOKUP(VendasSem4[[#This Row],[Produto]],cálculos!$I$3:$L$50,3,0),0)</f>
        <v>2.4900000000000002</v>
      </c>
      <c r="H176" s="6">
        <f>IFERROR(VendasSem4[[#This Row],[Quantidade]]*VendasSem4[[#This Row],[Preço Unitário]],0)</f>
        <v>49.800000000000004</v>
      </c>
      <c r="I176" s="11"/>
      <c r="J176" t="s">
        <v>112</v>
      </c>
      <c r="K176" s="6">
        <f>IFERROR(IF(VendasSem4[[#This Row],[Id da Venda]]=B177,0,VLOOKUP(VendasSem4[[#This Row],[Região de Entrega]],cálculos!$B$5:$C$9,2,0)),0)</f>
        <v>0</v>
      </c>
      <c r="L176" s="6">
        <f>(VendasSem4[[#This Row],[Subtotal]]*(1-VendasSem4[[#This Row],[Desconto]])+VendasSem4[[#This Row],[Valor de Entrega]])</f>
        <v>49.800000000000004</v>
      </c>
      <c r="M176" s="6" t="str">
        <f>IF(VendasSem4[[#This Row],[Id da Venda]]=B177,"",SUMIF(VendasSem4[Id da Venda],VendasSem4[[#This Row],[Id da Venda]],VendasSem4[Total]))</f>
        <v/>
      </c>
    </row>
    <row r="177" spans="2:13" x14ac:dyDescent="0.25">
      <c r="B177">
        <v>52</v>
      </c>
      <c r="C177" s="7">
        <v>45189</v>
      </c>
      <c r="D177" t="s">
        <v>33</v>
      </c>
      <c r="E177" t="str">
        <f>IFERROR(VLOOKUP(VendasSem4[[#This Row],[Produto]],cálculos!$I$3:$L$50,4,0),"")</f>
        <v>Kg</v>
      </c>
      <c r="F177">
        <v>10</v>
      </c>
      <c r="G177" s="6">
        <f>IFERROR(VLOOKUP(VendasSem4[[#This Row],[Produto]],cálculos!$I$3:$L$50,3,0),0)</f>
        <v>4.28</v>
      </c>
      <c r="H177" s="6">
        <f>IFERROR(VendasSem4[[#This Row],[Quantidade]]*VendasSem4[[#This Row],[Preço Unitário]],0)</f>
        <v>42.800000000000004</v>
      </c>
      <c r="I177" s="11"/>
      <c r="J177" t="s">
        <v>112</v>
      </c>
      <c r="K177" s="6">
        <f>IFERROR(IF(VendasSem4[[#This Row],[Id da Venda]]=B178,0,VLOOKUP(VendasSem4[[#This Row],[Região de Entrega]],cálculos!$B$5:$C$9,2,0)),0)</f>
        <v>7</v>
      </c>
      <c r="L177" s="6">
        <f>(VendasSem4[[#This Row],[Subtotal]]*(1-VendasSem4[[#This Row],[Desconto]])+VendasSem4[[#This Row],[Valor de Entrega]])</f>
        <v>49.800000000000004</v>
      </c>
      <c r="M177" s="6">
        <f>IF(VendasSem4[[#This Row],[Id da Venda]]=B178,"",SUMIF(VendasSem4[Id da Venda],VendasSem4[[#This Row],[Id da Venda]],VendasSem4[Total]))</f>
        <v>99.600000000000009</v>
      </c>
    </row>
    <row r="178" spans="2:13" x14ac:dyDescent="0.25">
      <c r="B178">
        <v>53</v>
      </c>
      <c r="C178" s="7">
        <v>45189</v>
      </c>
      <c r="D178" t="s">
        <v>35</v>
      </c>
      <c r="E178" t="str">
        <f>IFERROR(VLOOKUP(VendasSem4[[#This Row],[Produto]],cálculos!$I$3:$L$50,4,0),"")</f>
        <v>Unidade</v>
      </c>
      <c r="F178">
        <v>2</v>
      </c>
      <c r="G178" s="6">
        <f>IFERROR(VLOOKUP(VendasSem4[[#This Row],[Produto]],cálculos!$I$3:$L$50,3,0),0)</f>
        <v>2.99</v>
      </c>
      <c r="H178" s="6">
        <f>IFERROR(VendasSem4[[#This Row],[Quantidade]]*VendasSem4[[#This Row],[Preço Unitário]],0)</f>
        <v>5.98</v>
      </c>
      <c r="I178" s="11"/>
      <c r="J178" t="s">
        <v>108</v>
      </c>
      <c r="K178" s="6">
        <f>IFERROR(IF(VendasSem4[[#This Row],[Id da Venda]]=B179,0,VLOOKUP(VendasSem4[[#This Row],[Região de Entrega]],cálculos!$B$5:$C$9,2,0)),0)</f>
        <v>0</v>
      </c>
      <c r="L178" s="6">
        <f>(VendasSem4[[#This Row],[Subtotal]]*(1-VendasSem4[[#This Row],[Desconto]])+VendasSem4[[#This Row],[Valor de Entrega]])</f>
        <v>5.98</v>
      </c>
      <c r="M178" s="6" t="str">
        <f>IF(VendasSem4[[#This Row],[Id da Venda]]=B179,"",SUMIF(VendasSem4[Id da Venda],VendasSem4[[#This Row],[Id da Venda]],VendasSem4[Total]))</f>
        <v/>
      </c>
    </row>
    <row r="179" spans="2:13" x14ac:dyDescent="0.25">
      <c r="B179">
        <v>53</v>
      </c>
      <c r="C179" s="7">
        <v>45189</v>
      </c>
      <c r="D179" t="s">
        <v>42</v>
      </c>
      <c r="E179" t="str">
        <f>IFERROR(VLOOKUP(VendasSem4[[#This Row],[Produto]],cálculos!$I$3:$L$50,4,0),"")</f>
        <v>Kg</v>
      </c>
      <c r="F179">
        <v>2</v>
      </c>
      <c r="G179" s="6">
        <f>IFERROR(VLOOKUP(VendasSem4[[#This Row],[Produto]],cálculos!$I$3:$L$50,3,0),0)</f>
        <v>3.99</v>
      </c>
      <c r="H179" s="6">
        <f>IFERROR(VendasSem4[[#This Row],[Quantidade]]*VendasSem4[[#This Row],[Preço Unitário]],0)</f>
        <v>7.98</v>
      </c>
      <c r="I179" s="11"/>
      <c r="J179" t="s">
        <v>108</v>
      </c>
      <c r="K179" s="6">
        <f>IFERROR(IF(VendasSem4[[#This Row],[Id da Venda]]=B180,0,VLOOKUP(VendasSem4[[#This Row],[Região de Entrega]],cálculos!$B$5:$C$9,2,0)),0)</f>
        <v>0</v>
      </c>
      <c r="L179" s="6">
        <f>(VendasSem4[[#This Row],[Subtotal]]*(1-VendasSem4[[#This Row],[Desconto]])+VendasSem4[[#This Row],[Valor de Entrega]])</f>
        <v>7.98</v>
      </c>
      <c r="M179" s="6" t="str">
        <f>IF(VendasSem4[[#This Row],[Id da Venda]]=B180,"",SUMIF(VendasSem4[Id da Venda],VendasSem4[[#This Row],[Id da Venda]],VendasSem4[Total]))</f>
        <v/>
      </c>
    </row>
    <row r="180" spans="2:13" x14ac:dyDescent="0.25">
      <c r="B180">
        <v>53</v>
      </c>
      <c r="C180" s="7">
        <v>45189</v>
      </c>
      <c r="D180" t="s">
        <v>57</v>
      </c>
      <c r="E180" t="str">
        <f>IFERROR(VLOOKUP(VendasSem4[[#This Row],[Produto]],cálculos!$I$3:$L$50,4,0),"")</f>
        <v>Barra</v>
      </c>
      <c r="F180">
        <v>2</v>
      </c>
      <c r="G180" s="6">
        <f>IFERROR(VLOOKUP(VendasSem4[[#This Row],[Produto]],cálculos!$I$3:$L$50,3,0),0)</f>
        <v>4.99</v>
      </c>
      <c r="H180" s="6">
        <f>IFERROR(VendasSem4[[#This Row],[Quantidade]]*VendasSem4[[#This Row],[Preço Unitário]],0)</f>
        <v>9.98</v>
      </c>
      <c r="I180" s="11"/>
      <c r="J180" t="s">
        <v>108</v>
      </c>
      <c r="K180" s="6">
        <f>IFERROR(IF(VendasSem4[[#This Row],[Id da Venda]]=B181,0,VLOOKUP(VendasSem4[[#This Row],[Região de Entrega]],cálculos!$B$5:$C$9,2,0)),0)</f>
        <v>0</v>
      </c>
      <c r="L180" s="6">
        <f>(VendasSem4[[#This Row],[Subtotal]]*(1-VendasSem4[[#This Row],[Desconto]])+VendasSem4[[#This Row],[Valor de Entrega]])</f>
        <v>9.98</v>
      </c>
      <c r="M180" s="6" t="str">
        <f>IF(VendasSem4[[#This Row],[Id da Venda]]=B181,"",SUMIF(VendasSem4[Id da Venda],VendasSem4[[#This Row],[Id da Venda]],VendasSem4[Total]))</f>
        <v/>
      </c>
    </row>
    <row r="181" spans="2:13" x14ac:dyDescent="0.25">
      <c r="B181">
        <v>53</v>
      </c>
      <c r="C181" s="7">
        <v>45189</v>
      </c>
      <c r="D181" t="s">
        <v>126</v>
      </c>
      <c r="E181" t="str">
        <f>IFERROR(VLOOKUP(VendasSem4[[#This Row],[Produto]],cálculos!$I$3:$L$50,4,0),"")</f>
        <v>Unidade</v>
      </c>
      <c r="F181">
        <v>1</v>
      </c>
      <c r="G181" s="6">
        <f>IFERROR(VLOOKUP(VendasSem4[[#This Row],[Produto]],cálculos!$I$3:$L$50,3,0),0)</f>
        <v>7</v>
      </c>
      <c r="H181" s="6">
        <f>IFERROR(VendasSem4[[#This Row],[Quantidade]]*VendasSem4[[#This Row],[Preço Unitário]],0)</f>
        <v>7</v>
      </c>
      <c r="I181" s="11"/>
      <c r="J181" t="s">
        <v>108</v>
      </c>
      <c r="K181" s="6">
        <f>IFERROR(IF(VendasSem4[[#This Row],[Id da Venda]]=B182,0,VLOOKUP(VendasSem4[[#This Row],[Região de Entrega]],cálculos!$B$5:$C$9,2,0)),0)</f>
        <v>0</v>
      </c>
      <c r="L181" s="6">
        <f>(VendasSem4[[#This Row],[Subtotal]]*(1-VendasSem4[[#This Row],[Desconto]])+VendasSem4[[#This Row],[Valor de Entrega]])</f>
        <v>7</v>
      </c>
      <c r="M181" s="6" t="str">
        <f>IF(VendasSem4[[#This Row],[Id da Venda]]=B182,"",SUMIF(VendasSem4[Id da Venda],VendasSem4[[#This Row],[Id da Venda]],VendasSem4[Total]))</f>
        <v/>
      </c>
    </row>
    <row r="182" spans="2:13" x14ac:dyDescent="0.25">
      <c r="B182">
        <v>53</v>
      </c>
      <c r="C182" s="7">
        <v>45189</v>
      </c>
      <c r="D182" t="s">
        <v>131</v>
      </c>
      <c r="E182" t="str">
        <f>IFERROR(VLOOKUP(VendasSem4[[#This Row],[Produto]],cálculos!$I$3:$L$50,4,0),"")</f>
        <v>Kg</v>
      </c>
      <c r="F182">
        <v>2</v>
      </c>
      <c r="G182" s="6">
        <f>IFERROR(VLOOKUP(VendasSem4[[#This Row],[Produto]],cálculos!$I$3:$L$50,3,0),0)</f>
        <v>3</v>
      </c>
      <c r="H182" s="6">
        <f>IFERROR(VendasSem4[[#This Row],[Quantidade]]*VendasSem4[[#This Row],[Preço Unitário]],0)</f>
        <v>6</v>
      </c>
      <c r="I182" s="11"/>
      <c r="J182" t="s">
        <v>108</v>
      </c>
      <c r="K182" s="6">
        <f>IFERROR(IF(VendasSem4[[#This Row],[Id da Venda]]=B183,0,VLOOKUP(VendasSem4[[#This Row],[Região de Entrega]],cálculos!$B$5:$C$9,2,0)),0)</f>
        <v>10</v>
      </c>
      <c r="L182" s="6">
        <f>(VendasSem4[[#This Row],[Subtotal]]*(1-VendasSem4[[#This Row],[Desconto]])+VendasSem4[[#This Row],[Valor de Entrega]])</f>
        <v>16</v>
      </c>
      <c r="M182" s="6">
        <f>IF(VendasSem4[[#This Row],[Id da Venda]]=B183,"",SUMIF(VendasSem4[Id da Venda],VendasSem4[[#This Row],[Id da Venda]],VendasSem4[Total]))</f>
        <v>46.94</v>
      </c>
    </row>
    <row r="183" spans="2:13" x14ac:dyDescent="0.25">
      <c r="B183">
        <v>54</v>
      </c>
      <c r="C183" s="7">
        <v>45189</v>
      </c>
      <c r="D183" t="s">
        <v>66</v>
      </c>
      <c r="E183" t="str">
        <f>IFERROR(VLOOKUP(VendasSem4[[#This Row],[Produto]],cálculos!$I$3:$L$50,4,0),"")</f>
        <v>Litro</v>
      </c>
      <c r="F183">
        <v>5</v>
      </c>
      <c r="G183" s="6">
        <f>IFERROR(VLOOKUP(VendasSem4[[#This Row],[Produto]],cálculos!$I$3:$L$50,3,0),0)</f>
        <v>1.49</v>
      </c>
      <c r="H183" s="6">
        <f>IFERROR(VendasSem4[[#This Row],[Quantidade]]*VendasSem4[[#This Row],[Preço Unitário]],0)</f>
        <v>7.45</v>
      </c>
      <c r="I183" s="11"/>
      <c r="J183" t="s">
        <v>110</v>
      </c>
      <c r="K183" s="6">
        <f>IFERROR(IF(VendasSem4[[#This Row],[Id da Venda]]=B184,0,VLOOKUP(VendasSem4[[#This Row],[Região de Entrega]],cálculos!$B$5:$C$9,2,0)),0)</f>
        <v>0</v>
      </c>
      <c r="L183" s="6">
        <f>(VendasSem4[[#This Row],[Subtotal]]*(1-VendasSem4[[#This Row],[Desconto]])+VendasSem4[[#This Row],[Valor de Entrega]])</f>
        <v>7.45</v>
      </c>
      <c r="M183" s="6" t="str">
        <f>IF(VendasSem4[[#This Row],[Id da Venda]]=B184,"",SUMIF(VendasSem4[Id da Venda],VendasSem4[[#This Row],[Id da Venda]],VendasSem4[Total]))</f>
        <v/>
      </c>
    </row>
    <row r="184" spans="2:13" x14ac:dyDescent="0.25">
      <c r="B184">
        <v>54</v>
      </c>
      <c r="C184" s="7">
        <v>45189</v>
      </c>
      <c r="D184" t="s">
        <v>72</v>
      </c>
      <c r="E184" t="str">
        <f>IFERROR(VLOOKUP(VendasSem4[[#This Row],[Produto]],cálculos!$I$3:$L$50,4,0),"")</f>
        <v>Litro</v>
      </c>
      <c r="F184">
        <v>3</v>
      </c>
      <c r="G184" s="6">
        <f>IFERROR(VLOOKUP(VendasSem4[[#This Row],[Produto]],cálculos!$I$3:$L$50,3,0),0)</f>
        <v>2.39</v>
      </c>
      <c r="H184" s="6">
        <f>IFERROR(VendasSem4[[#This Row],[Quantidade]]*VendasSem4[[#This Row],[Preço Unitário]],0)</f>
        <v>7.17</v>
      </c>
      <c r="I184" s="11"/>
      <c r="J184" t="s">
        <v>110</v>
      </c>
      <c r="K184" s="6">
        <f>IFERROR(IF(VendasSem4[[#This Row],[Id da Venda]]=B185,0,VLOOKUP(VendasSem4[[#This Row],[Região de Entrega]],cálculos!$B$5:$C$9,2,0)),0)</f>
        <v>12.8</v>
      </c>
      <c r="L184" s="6">
        <f>(VendasSem4[[#This Row],[Subtotal]]*(1-VendasSem4[[#This Row],[Desconto]])+VendasSem4[[#This Row],[Valor de Entrega]])</f>
        <v>19.97</v>
      </c>
      <c r="M184" s="6">
        <f>IF(VendasSem4[[#This Row],[Id da Venda]]=B185,"",SUMIF(VendasSem4[Id da Venda],VendasSem4[[#This Row],[Id da Venda]],VendasSem4[Total]))</f>
        <v>27.419999999999998</v>
      </c>
    </row>
    <row r="185" spans="2:13" x14ac:dyDescent="0.25">
      <c r="B185">
        <v>55</v>
      </c>
      <c r="C185" s="7">
        <v>45189</v>
      </c>
      <c r="D185" t="s">
        <v>46</v>
      </c>
      <c r="E185" t="str">
        <f>IFERROR(VLOOKUP(VendasSem4[[#This Row],[Produto]],cálculos!$I$3:$L$50,4,0),"")</f>
        <v>Garrafa</v>
      </c>
      <c r="F185">
        <v>1</v>
      </c>
      <c r="G185" s="6">
        <f>IFERROR(VLOOKUP(VendasSem4[[#This Row],[Produto]],cálculos!$I$3:$L$50,3,0),0)</f>
        <v>54.9</v>
      </c>
      <c r="H185" s="6">
        <f>IFERROR(VendasSem4[[#This Row],[Quantidade]]*VendasSem4[[#This Row],[Preço Unitário]],0)</f>
        <v>54.9</v>
      </c>
      <c r="I185" s="11"/>
      <c r="J185" t="s">
        <v>109</v>
      </c>
      <c r="K185" s="6">
        <f>IFERROR(IF(VendasSem4[[#This Row],[Id da Venda]]=B186,0,VLOOKUP(VendasSem4[[#This Row],[Região de Entrega]],cálculos!$B$5:$C$9,2,0)),0)</f>
        <v>0</v>
      </c>
      <c r="L185" s="6">
        <f>(VendasSem4[[#This Row],[Subtotal]]*(1-VendasSem4[[#This Row],[Desconto]])+VendasSem4[[#This Row],[Valor de Entrega]])</f>
        <v>54.9</v>
      </c>
      <c r="M185" s="6">
        <f>IF(VendasSem4[[#This Row],[Id da Venda]]=B186,"",SUMIF(VendasSem4[Id da Venda],VendasSem4[[#This Row],[Id da Venda]],VendasSem4[Total]))</f>
        <v>54.9</v>
      </c>
    </row>
    <row r="186" spans="2:13" x14ac:dyDescent="0.25">
      <c r="B186">
        <v>56</v>
      </c>
      <c r="C186" s="7">
        <v>45189</v>
      </c>
      <c r="D186" t="s">
        <v>32</v>
      </c>
      <c r="E186" t="str">
        <f>IFERROR(VLOOKUP(VendasSem4[[#This Row],[Produto]],cálculos!$I$3:$L$50,4,0),"")</f>
        <v>Kg</v>
      </c>
      <c r="F186">
        <v>5</v>
      </c>
      <c r="G186" s="6">
        <f>IFERROR(VLOOKUP(VendasSem4[[#This Row],[Produto]],cálculos!$I$3:$L$50,3,0),0)</f>
        <v>2.4900000000000002</v>
      </c>
      <c r="H186" s="6">
        <f>IFERROR(VendasSem4[[#This Row],[Quantidade]]*VendasSem4[[#This Row],[Preço Unitário]],0)</f>
        <v>12.450000000000001</v>
      </c>
      <c r="I186" s="11"/>
      <c r="J186" t="s">
        <v>109</v>
      </c>
      <c r="K186" s="6">
        <f>IFERROR(IF(VendasSem4[[#This Row],[Id da Venda]]=B187,0,VLOOKUP(VendasSem4[[#This Row],[Região de Entrega]],cálculos!$B$5:$C$9,2,0)),0)</f>
        <v>0</v>
      </c>
      <c r="L186" s="6">
        <f>(VendasSem4[[#This Row],[Subtotal]]*(1-VendasSem4[[#This Row],[Desconto]])+VendasSem4[[#This Row],[Valor de Entrega]])</f>
        <v>12.450000000000001</v>
      </c>
      <c r="M186" s="6" t="str">
        <f>IF(VendasSem4[[#This Row],[Id da Venda]]=B187,"",SUMIF(VendasSem4[Id da Venda],VendasSem4[[#This Row],[Id da Venda]],VendasSem4[Total]))</f>
        <v/>
      </c>
    </row>
    <row r="187" spans="2:13" x14ac:dyDescent="0.25">
      <c r="B187">
        <v>56</v>
      </c>
      <c r="C187" s="7">
        <v>45189</v>
      </c>
      <c r="D187" t="s">
        <v>130</v>
      </c>
      <c r="E187" t="str">
        <f>IFERROR(VLOOKUP(VendasSem4[[#This Row],[Produto]],cálculos!$I$3:$L$50,4,0),"")</f>
        <v>Kg</v>
      </c>
      <c r="F187">
        <v>1</v>
      </c>
      <c r="G187" s="6">
        <f>IFERROR(VLOOKUP(VendasSem4[[#This Row],[Produto]],cálculos!$I$3:$L$50,3,0),0)</f>
        <v>2.8</v>
      </c>
      <c r="H187" s="6">
        <f>IFERROR(VendasSem4[[#This Row],[Quantidade]]*VendasSem4[[#This Row],[Preço Unitário]],0)</f>
        <v>2.8</v>
      </c>
      <c r="I187" s="11"/>
      <c r="J187" t="s">
        <v>109</v>
      </c>
      <c r="K187" s="6">
        <f>IFERROR(IF(VendasSem4[[#This Row],[Id da Venda]]=B188,0,VLOOKUP(VendasSem4[[#This Row],[Região de Entrega]],cálculos!$B$5:$C$9,2,0)),0)</f>
        <v>0</v>
      </c>
      <c r="L187" s="6">
        <f>(VendasSem4[[#This Row],[Subtotal]]*(1-VendasSem4[[#This Row],[Desconto]])+VendasSem4[[#This Row],[Valor de Entrega]])</f>
        <v>2.8</v>
      </c>
      <c r="M187" s="6" t="str">
        <f>IF(VendasSem4[[#This Row],[Id da Venda]]=B188,"",SUMIF(VendasSem4[Id da Venda],VendasSem4[[#This Row],[Id da Venda]],VendasSem4[Total]))</f>
        <v/>
      </c>
    </row>
    <row r="188" spans="2:13" x14ac:dyDescent="0.25">
      <c r="B188">
        <v>56</v>
      </c>
      <c r="C188" s="7">
        <v>45189</v>
      </c>
      <c r="D188" t="s">
        <v>120</v>
      </c>
      <c r="E188" t="str">
        <f>IFERROR(VLOOKUP(VendasSem4[[#This Row],[Produto]],cálculos!$I$3:$L$50,4,0),"")</f>
        <v>Kg</v>
      </c>
      <c r="F188">
        <v>2</v>
      </c>
      <c r="G188" s="6">
        <f>IFERROR(VLOOKUP(VendasSem4[[#This Row],[Produto]],cálculos!$I$3:$L$50,3,0),0)</f>
        <v>4.5</v>
      </c>
      <c r="H188" s="6">
        <f>IFERROR(VendasSem4[[#This Row],[Quantidade]]*VendasSem4[[#This Row],[Preço Unitário]],0)</f>
        <v>9</v>
      </c>
      <c r="I188" s="11"/>
      <c r="J188" t="s">
        <v>109</v>
      </c>
      <c r="K188" s="6">
        <f>IFERROR(IF(VendasSem4[[#This Row],[Id da Venda]]=B189,0,VLOOKUP(VendasSem4[[#This Row],[Região de Entrega]],cálculos!$B$5:$C$9,2,0)),0)</f>
        <v>0</v>
      </c>
      <c r="L188" s="6">
        <f>(VendasSem4[[#This Row],[Subtotal]]*(1-VendasSem4[[#This Row],[Desconto]])+VendasSem4[[#This Row],[Valor de Entrega]])</f>
        <v>9</v>
      </c>
      <c r="M188" s="6" t="str">
        <f>IF(VendasSem4[[#This Row],[Id da Venda]]=B189,"",SUMIF(VendasSem4[Id da Venda],VendasSem4[[#This Row],[Id da Venda]],VendasSem4[Total]))</f>
        <v/>
      </c>
    </row>
    <row r="189" spans="2:13" x14ac:dyDescent="0.25">
      <c r="B189">
        <v>56</v>
      </c>
      <c r="C189" s="7">
        <v>45189</v>
      </c>
      <c r="D189" t="s">
        <v>42</v>
      </c>
      <c r="E189" t="str">
        <f>IFERROR(VLOOKUP(VendasSem4[[#This Row],[Produto]],cálculos!$I$3:$L$50,4,0),"")</f>
        <v>Kg</v>
      </c>
      <c r="F189">
        <v>2</v>
      </c>
      <c r="G189" s="6">
        <f>IFERROR(VLOOKUP(VendasSem4[[#This Row],[Produto]],cálculos!$I$3:$L$50,3,0),0)</f>
        <v>3.99</v>
      </c>
      <c r="H189" s="6">
        <f>IFERROR(VendasSem4[[#This Row],[Quantidade]]*VendasSem4[[#This Row],[Preço Unitário]],0)</f>
        <v>7.98</v>
      </c>
      <c r="I189" s="11"/>
      <c r="J189" t="s">
        <v>109</v>
      </c>
      <c r="K189" s="6">
        <f>IFERROR(IF(VendasSem4[[#This Row],[Id da Venda]]=B190,0,VLOOKUP(VendasSem4[[#This Row],[Região de Entrega]],cálculos!$B$5:$C$9,2,0)),0)</f>
        <v>0</v>
      </c>
      <c r="L189" s="6">
        <f>(VendasSem4[[#This Row],[Subtotal]]*(1-VendasSem4[[#This Row],[Desconto]])+VendasSem4[[#This Row],[Valor de Entrega]])</f>
        <v>7.98</v>
      </c>
      <c r="M189" s="6" t="str">
        <f>IF(VendasSem4[[#This Row],[Id da Venda]]=B190,"",SUMIF(VendasSem4[Id da Venda],VendasSem4[[#This Row],[Id da Venda]],VendasSem4[Total]))</f>
        <v/>
      </c>
    </row>
    <row r="190" spans="2:13" x14ac:dyDescent="0.25">
      <c r="B190">
        <v>56</v>
      </c>
      <c r="C190" s="7">
        <v>45189</v>
      </c>
      <c r="D190" t="s">
        <v>131</v>
      </c>
      <c r="E190" t="str">
        <f>IFERROR(VLOOKUP(VendasSem4[[#This Row],[Produto]],cálculos!$I$3:$L$50,4,0),"")</f>
        <v>Kg</v>
      </c>
      <c r="F190">
        <v>2</v>
      </c>
      <c r="G190" s="6">
        <f>IFERROR(VLOOKUP(VendasSem4[[#This Row],[Produto]],cálculos!$I$3:$L$50,3,0),0)</f>
        <v>3</v>
      </c>
      <c r="H190" s="6">
        <f>IFERROR(VendasSem4[[#This Row],[Quantidade]]*VendasSem4[[#This Row],[Preço Unitário]],0)</f>
        <v>6</v>
      </c>
      <c r="I190" s="11"/>
      <c r="J190" t="s">
        <v>109</v>
      </c>
      <c r="K190" s="6">
        <f>IFERROR(IF(VendasSem4[[#This Row],[Id da Venda]]=B191,0,VLOOKUP(VendasSem4[[#This Row],[Região de Entrega]],cálculos!$B$5:$C$9,2,0)),0)</f>
        <v>0</v>
      </c>
      <c r="L190" s="6">
        <f>(VendasSem4[[#This Row],[Subtotal]]*(1-VendasSem4[[#This Row],[Desconto]])+VendasSem4[[#This Row],[Valor de Entrega]])</f>
        <v>6</v>
      </c>
      <c r="M190" s="6">
        <f>IF(VendasSem4[[#This Row],[Id da Venda]]=B191,"",SUMIF(VendasSem4[Id da Venda],VendasSem4[[#This Row],[Id da Venda]],VendasSem4[Total]))</f>
        <v>38.230000000000004</v>
      </c>
    </row>
    <row r="191" spans="2:13" x14ac:dyDescent="0.25">
      <c r="B191">
        <v>57</v>
      </c>
      <c r="C191" s="7">
        <v>45189</v>
      </c>
      <c r="D191" t="s">
        <v>32</v>
      </c>
      <c r="E191" t="str">
        <f>IFERROR(VLOOKUP(VendasSem4[[#This Row],[Produto]],cálculos!$I$3:$L$50,4,0),"")</f>
        <v>Kg</v>
      </c>
      <c r="F191">
        <v>10</v>
      </c>
      <c r="G191" s="6">
        <f>IFERROR(VLOOKUP(VendasSem4[[#This Row],[Produto]],cálculos!$I$3:$L$50,3,0),0)</f>
        <v>2.4900000000000002</v>
      </c>
      <c r="H191" s="6">
        <f>IFERROR(VendasSem4[[#This Row],[Quantidade]]*VendasSem4[[#This Row],[Preço Unitário]],0)</f>
        <v>24.900000000000002</v>
      </c>
      <c r="I191" s="11"/>
      <c r="J191" t="s">
        <v>108</v>
      </c>
      <c r="K191" s="6">
        <f>IFERROR(IF(VendasSem4[[#This Row],[Id da Venda]]=B192,0,VLOOKUP(VendasSem4[[#This Row],[Região de Entrega]],cálculos!$B$5:$C$9,2,0)),0)</f>
        <v>0</v>
      </c>
      <c r="L191" s="6">
        <f>(VendasSem4[[#This Row],[Subtotal]]*(1-VendasSem4[[#This Row],[Desconto]])+VendasSem4[[#This Row],[Valor de Entrega]])</f>
        <v>24.900000000000002</v>
      </c>
      <c r="M191" s="6" t="str">
        <f>IF(VendasSem4[[#This Row],[Id da Venda]]=B192,"",SUMIF(VendasSem4[Id da Venda],VendasSem4[[#This Row],[Id da Venda]],VendasSem4[Total]))</f>
        <v/>
      </c>
    </row>
    <row r="192" spans="2:13" x14ac:dyDescent="0.25">
      <c r="B192">
        <v>57</v>
      </c>
      <c r="C192" s="7">
        <v>45189</v>
      </c>
      <c r="D192" t="s">
        <v>33</v>
      </c>
      <c r="E192" t="str">
        <f>IFERROR(VLOOKUP(VendasSem4[[#This Row],[Produto]],cálculos!$I$3:$L$50,4,0),"")</f>
        <v>Kg</v>
      </c>
      <c r="F192">
        <v>5</v>
      </c>
      <c r="G192" s="6">
        <f>IFERROR(VLOOKUP(VendasSem4[[#This Row],[Produto]],cálculos!$I$3:$L$50,3,0),0)</f>
        <v>4.28</v>
      </c>
      <c r="H192" s="6">
        <f>IFERROR(VendasSem4[[#This Row],[Quantidade]]*VendasSem4[[#This Row],[Preço Unitário]],0)</f>
        <v>21.400000000000002</v>
      </c>
      <c r="I192" s="11"/>
      <c r="J192" t="s">
        <v>108</v>
      </c>
      <c r="K192" s="6">
        <f>IFERROR(IF(VendasSem4[[#This Row],[Id da Venda]]=B193,0,VLOOKUP(VendasSem4[[#This Row],[Região de Entrega]],cálculos!$B$5:$C$9,2,0)),0)</f>
        <v>0</v>
      </c>
      <c r="L192" s="6">
        <f>(VendasSem4[[#This Row],[Subtotal]]*(1-VendasSem4[[#This Row],[Desconto]])+VendasSem4[[#This Row],[Valor de Entrega]])</f>
        <v>21.400000000000002</v>
      </c>
      <c r="M192" s="6" t="str">
        <f>IF(VendasSem4[[#This Row],[Id da Venda]]=B193,"",SUMIF(VendasSem4[Id da Venda],VendasSem4[[#This Row],[Id da Venda]],VendasSem4[Total]))</f>
        <v/>
      </c>
    </row>
    <row r="193" spans="2:13" x14ac:dyDescent="0.25">
      <c r="B193">
        <v>57</v>
      </c>
      <c r="C193" s="7">
        <v>45189</v>
      </c>
      <c r="D193" t="s">
        <v>37</v>
      </c>
      <c r="E193" t="str">
        <f>IFERROR(VLOOKUP(VendasSem4[[#This Row],[Produto]],cálculos!$I$3:$L$50,4,0),"")</f>
        <v>Kg</v>
      </c>
      <c r="F193">
        <v>5</v>
      </c>
      <c r="G193" s="6">
        <f>IFERROR(VLOOKUP(VendasSem4[[#This Row],[Produto]],cálculos!$I$3:$L$50,3,0),0)</f>
        <v>6.98</v>
      </c>
      <c r="H193" s="6">
        <f>IFERROR(VendasSem4[[#This Row],[Quantidade]]*VendasSem4[[#This Row],[Preço Unitário]],0)</f>
        <v>34.900000000000006</v>
      </c>
      <c r="I193" s="11"/>
      <c r="J193" t="s">
        <v>108</v>
      </c>
      <c r="K193" s="6">
        <f>IFERROR(IF(VendasSem4[[#This Row],[Id da Venda]]=B194,0,VLOOKUP(VendasSem4[[#This Row],[Região de Entrega]],cálculos!$B$5:$C$9,2,0)),0)</f>
        <v>10</v>
      </c>
      <c r="L193" s="6">
        <f>(VendasSem4[[#This Row],[Subtotal]]*(1-VendasSem4[[#This Row],[Desconto]])+VendasSem4[[#This Row],[Valor de Entrega]])</f>
        <v>44.900000000000006</v>
      </c>
      <c r="M193" s="6">
        <f>IF(VendasSem4[[#This Row],[Id da Venda]]=B194,"",SUMIF(VendasSem4[Id da Venda],VendasSem4[[#This Row],[Id da Venda]],VendasSem4[Total]))</f>
        <v>91.200000000000017</v>
      </c>
    </row>
    <row r="194" spans="2:13" x14ac:dyDescent="0.25">
      <c r="B194">
        <v>58</v>
      </c>
      <c r="C194" s="7">
        <v>45189</v>
      </c>
      <c r="D194" t="s">
        <v>32</v>
      </c>
      <c r="E194" t="str">
        <f>IFERROR(VLOOKUP(VendasSem4[[#This Row],[Produto]],cálculos!$I$3:$L$50,4,0),"")</f>
        <v>Kg</v>
      </c>
      <c r="F194">
        <v>20</v>
      </c>
      <c r="G194" s="6">
        <f>IFERROR(VLOOKUP(VendasSem4[[#This Row],[Produto]],cálculos!$I$3:$L$50,3,0),0)</f>
        <v>2.4900000000000002</v>
      </c>
      <c r="H194" s="6">
        <f>IFERROR(VendasSem4[[#This Row],[Quantidade]]*VendasSem4[[#This Row],[Preço Unitário]],0)</f>
        <v>49.800000000000004</v>
      </c>
      <c r="I194" s="11"/>
      <c r="J194" t="s">
        <v>109</v>
      </c>
      <c r="K194" s="6">
        <f>IFERROR(IF(VendasSem4[[#This Row],[Id da Venda]]=B195,0,VLOOKUP(VendasSem4[[#This Row],[Região de Entrega]],cálculos!$B$5:$C$9,2,0)),0)</f>
        <v>0</v>
      </c>
      <c r="L194" s="6">
        <f>(VendasSem4[[#This Row],[Subtotal]]*(1-VendasSem4[[#This Row],[Desconto]])+VendasSem4[[#This Row],[Valor de Entrega]])</f>
        <v>49.800000000000004</v>
      </c>
      <c r="M194" s="6" t="str">
        <f>IF(VendasSem4[[#This Row],[Id da Venda]]=B195,"",SUMIF(VendasSem4[Id da Venda],VendasSem4[[#This Row],[Id da Venda]],VendasSem4[Total]))</f>
        <v/>
      </c>
    </row>
    <row r="195" spans="2:13" x14ac:dyDescent="0.25">
      <c r="B195">
        <v>58</v>
      </c>
      <c r="C195" s="7">
        <v>45189</v>
      </c>
      <c r="D195" t="s">
        <v>33</v>
      </c>
      <c r="E195" t="str">
        <f>IFERROR(VLOOKUP(VendasSem4[[#This Row],[Produto]],cálculos!$I$3:$L$50,4,0),"")</f>
        <v>Kg</v>
      </c>
      <c r="F195">
        <v>10</v>
      </c>
      <c r="G195" s="6">
        <f>IFERROR(VLOOKUP(VendasSem4[[#This Row],[Produto]],cálculos!$I$3:$L$50,3,0),0)</f>
        <v>4.28</v>
      </c>
      <c r="H195" s="6">
        <f>IFERROR(VendasSem4[[#This Row],[Quantidade]]*VendasSem4[[#This Row],[Preço Unitário]],0)</f>
        <v>42.800000000000004</v>
      </c>
      <c r="I195" s="11"/>
      <c r="J195" t="s">
        <v>109</v>
      </c>
      <c r="K195" s="6">
        <f>IFERROR(IF(VendasSem4[[#This Row],[Id da Venda]]=B196,0,VLOOKUP(VendasSem4[[#This Row],[Região de Entrega]],cálculos!$B$5:$C$9,2,0)),0)</f>
        <v>0</v>
      </c>
      <c r="L195" s="6">
        <f>(VendasSem4[[#This Row],[Subtotal]]*(1-VendasSem4[[#This Row],[Desconto]])+VendasSem4[[#This Row],[Valor de Entrega]])</f>
        <v>42.800000000000004</v>
      </c>
      <c r="M195" s="6" t="str">
        <f>IF(VendasSem4[[#This Row],[Id da Venda]]=B196,"",SUMIF(VendasSem4[Id da Venda],VendasSem4[[#This Row],[Id da Venda]],VendasSem4[Total]))</f>
        <v/>
      </c>
    </row>
    <row r="196" spans="2:13" x14ac:dyDescent="0.25">
      <c r="B196">
        <v>58</v>
      </c>
      <c r="C196" s="7">
        <v>45189</v>
      </c>
      <c r="D196" t="s">
        <v>37</v>
      </c>
      <c r="E196" t="str">
        <f>IFERROR(VLOOKUP(VendasSem4[[#This Row],[Produto]],cálculos!$I$3:$L$50,4,0),"")</f>
        <v>Kg</v>
      </c>
      <c r="F196">
        <v>5</v>
      </c>
      <c r="G196" s="6">
        <f>IFERROR(VLOOKUP(VendasSem4[[#This Row],[Produto]],cálculos!$I$3:$L$50,3,0),0)</f>
        <v>6.98</v>
      </c>
      <c r="H196" s="6">
        <f>IFERROR(VendasSem4[[#This Row],[Quantidade]]*VendasSem4[[#This Row],[Preço Unitário]],0)</f>
        <v>34.900000000000006</v>
      </c>
      <c r="I196" s="11"/>
      <c r="J196" t="s">
        <v>109</v>
      </c>
      <c r="K196" s="6">
        <f>IFERROR(IF(VendasSem4[[#This Row],[Id da Venda]]=B197,0,VLOOKUP(VendasSem4[[#This Row],[Região de Entrega]],cálculos!$B$5:$C$9,2,0)),0)</f>
        <v>0</v>
      </c>
      <c r="L196" s="6">
        <f>(VendasSem4[[#This Row],[Subtotal]]*(1-VendasSem4[[#This Row],[Desconto]])+VendasSem4[[#This Row],[Valor de Entrega]])</f>
        <v>34.900000000000006</v>
      </c>
      <c r="M196" s="6" t="str">
        <f>IF(VendasSem4[[#This Row],[Id da Venda]]=B197,"",SUMIF(VendasSem4[Id da Venda],VendasSem4[[#This Row],[Id da Venda]],VendasSem4[Total]))</f>
        <v/>
      </c>
    </row>
    <row r="197" spans="2:13" x14ac:dyDescent="0.25">
      <c r="B197">
        <v>58</v>
      </c>
      <c r="C197" s="7">
        <v>45189</v>
      </c>
      <c r="D197" t="s">
        <v>36</v>
      </c>
      <c r="E197" t="str">
        <f>IFERROR(VLOOKUP(VendasSem4[[#This Row],[Produto]],cálculos!$I$3:$L$50,4,0),"")</f>
        <v>Kg</v>
      </c>
      <c r="F197">
        <v>6</v>
      </c>
      <c r="G197" s="6">
        <f>IFERROR(VLOOKUP(VendasSem4[[#This Row],[Produto]],cálculos!$I$3:$L$50,3,0),0)</f>
        <v>15.9</v>
      </c>
      <c r="H197" s="6">
        <f>IFERROR(VendasSem4[[#This Row],[Quantidade]]*VendasSem4[[#This Row],[Preço Unitário]],0)</f>
        <v>95.4</v>
      </c>
      <c r="I197" s="11"/>
      <c r="J197" t="s">
        <v>109</v>
      </c>
      <c r="K197" s="6">
        <f>IFERROR(IF(VendasSem4[[#This Row],[Id da Venda]]=B198,0,VLOOKUP(VendasSem4[[#This Row],[Região de Entrega]],cálculos!$B$5:$C$9,2,0)),0)</f>
        <v>0</v>
      </c>
      <c r="L197" s="6">
        <f>(VendasSem4[[#This Row],[Subtotal]]*(1-VendasSem4[[#This Row],[Desconto]])+VendasSem4[[#This Row],[Valor de Entrega]])</f>
        <v>95.4</v>
      </c>
      <c r="M197" s="6" t="str">
        <f>IF(VendasSem4[[#This Row],[Id da Venda]]=B198,"",SUMIF(VendasSem4[Id da Venda],VendasSem4[[#This Row],[Id da Venda]],VendasSem4[Total]))</f>
        <v/>
      </c>
    </row>
    <row r="198" spans="2:13" x14ac:dyDescent="0.25">
      <c r="B198">
        <v>58</v>
      </c>
      <c r="C198" s="7">
        <v>45189</v>
      </c>
      <c r="D198" t="s">
        <v>38</v>
      </c>
      <c r="E198" t="str">
        <f>IFERROR(VLOOKUP(VendasSem4[[#This Row],[Produto]],cálculos!$I$3:$L$50,4,0),"")</f>
        <v>Kg</v>
      </c>
      <c r="F198">
        <v>8</v>
      </c>
      <c r="G198" s="6">
        <f>IFERROR(VLOOKUP(VendasSem4[[#This Row],[Produto]],cálculos!$I$3:$L$50,3,0),0)</f>
        <v>23.9</v>
      </c>
      <c r="H198" s="6">
        <f>IFERROR(VendasSem4[[#This Row],[Quantidade]]*VendasSem4[[#This Row],[Preço Unitário]],0)</f>
        <v>191.2</v>
      </c>
      <c r="I198" s="11"/>
      <c r="J198" t="s">
        <v>109</v>
      </c>
      <c r="K198" s="6">
        <f>IFERROR(IF(VendasSem4[[#This Row],[Id da Venda]]=B199,0,VLOOKUP(VendasSem4[[#This Row],[Região de Entrega]],cálculos!$B$5:$C$9,2,0)),0)</f>
        <v>0</v>
      </c>
      <c r="L198" s="6">
        <f>(VendasSem4[[#This Row],[Subtotal]]*(1-VendasSem4[[#This Row],[Desconto]])+VendasSem4[[#This Row],[Valor de Entrega]])</f>
        <v>191.2</v>
      </c>
      <c r="M198" s="6" t="str">
        <f>IF(VendasSem4[[#This Row],[Id da Venda]]=B199,"",SUMIF(VendasSem4[Id da Venda],VendasSem4[[#This Row],[Id da Venda]],VendasSem4[Total]))</f>
        <v/>
      </c>
    </row>
    <row r="199" spans="2:13" x14ac:dyDescent="0.25">
      <c r="B199">
        <v>58</v>
      </c>
      <c r="C199" s="7">
        <v>45189</v>
      </c>
      <c r="D199" t="s">
        <v>131</v>
      </c>
      <c r="E199" t="str">
        <f>IFERROR(VLOOKUP(VendasSem4[[#This Row],[Produto]],cálculos!$I$3:$L$50,4,0),"")</f>
        <v>Kg</v>
      </c>
      <c r="F199">
        <v>1</v>
      </c>
      <c r="G199" s="6">
        <f>IFERROR(VLOOKUP(VendasSem4[[#This Row],[Produto]],cálculos!$I$3:$L$50,3,0),0)</f>
        <v>3</v>
      </c>
      <c r="H199" s="6">
        <f>IFERROR(VendasSem4[[#This Row],[Quantidade]]*VendasSem4[[#This Row],[Preço Unitário]],0)</f>
        <v>3</v>
      </c>
      <c r="I199" s="11"/>
      <c r="J199" t="s">
        <v>109</v>
      </c>
      <c r="K199" s="6">
        <f>IFERROR(IF(VendasSem4[[#This Row],[Id da Venda]]=B200,0,VLOOKUP(VendasSem4[[#This Row],[Região de Entrega]],cálculos!$B$5:$C$9,2,0)),0)</f>
        <v>0</v>
      </c>
      <c r="L199" s="6">
        <f>(VendasSem4[[#This Row],[Subtotal]]*(1-VendasSem4[[#This Row],[Desconto]])+VendasSem4[[#This Row],[Valor de Entrega]])</f>
        <v>3</v>
      </c>
      <c r="M199" s="6" t="str">
        <f>IF(VendasSem4[[#This Row],[Id da Venda]]=B200,"",SUMIF(VendasSem4[Id da Venda],VendasSem4[[#This Row],[Id da Venda]],VendasSem4[Total]))</f>
        <v/>
      </c>
    </row>
    <row r="200" spans="2:13" x14ac:dyDescent="0.25">
      <c r="B200">
        <v>58</v>
      </c>
      <c r="C200" s="7">
        <v>45189</v>
      </c>
      <c r="D200" t="s">
        <v>43</v>
      </c>
      <c r="E200" t="str">
        <f>IFERROR(VLOOKUP(VendasSem4[[#This Row],[Produto]],cálculos!$I$3:$L$50,4,0),"")</f>
        <v>Kg</v>
      </c>
      <c r="F200">
        <v>0.2</v>
      </c>
      <c r="G200" s="6">
        <f>IFERROR(VLOOKUP(VendasSem4[[#This Row],[Produto]],cálculos!$I$3:$L$50,3,0),0)</f>
        <v>9.58</v>
      </c>
      <c r="H200" s="6">
        <f>IFERROR(VendasSem4[[#This Row],[Quantidade]]*VendasSem4[[#This Row],[Preço Unitário]],0)</f>
        <v>1.9160000000000001</v>
      </c>
      <c r="I200" s="11"/>
      <c r="J200" t="s">
        <v>109</v>
      </c>
      <c r="K200" s="6">
        <f>IFERROR(IF(VendasSem4[[#This Row],[Id da Venda]]=B201,0,VLOOKUP(VendasSem4[[#This Row],[Região de Entrega]],cálculos!$B$5:$C$9,2,0)),0)</f>
        <v>0</v>
      </c>
      <c r="L200" s="6">
        <f>(VendasSem4[[#This Row],[Subtotal]]*(1-VendasSem4[[#This Row],[Desconto]])+VendasSem4[[#This Row],[Valor de Entrega]])</f>
        <v>1.9160000000000001</v>
      </c>
      <c r="M200" s="6" t="str">
        <f>IF(VendasSem4[[#This Row],[Id da Venda]]=B201,"",SUMIF(VendasSem4[Id da Venda],VendasSem4[[#This Row],[Id da Venda]],VendasSem4[Total]))</f>
        <v/>
      </c>
    </row>
    <row r="201" spans="2:13" x14ac:dyDescent="0.25">
      <c r="B201">
        <v>58</v>
      </c>
      <c r="C201" s="7">
        <v>45189</v>
      </c>
      <c r="D201" t="s">
        <v>40</v>
      </c>
      <c r="E201" t="str">
        <f>IFERROR(VLOOKUP(VendasSem4[[#This Row],[Produto]],cálculos!$I$3:$L$50,4,0),"")</f>
        <v>Garrafa</v>
      </c>
      <c r="F201">
        <v>5</v>
      </c>
      <c r="G201" s="6">
        <f>IFERROR(VLOOKUP(VendasSem4[[#This Row],[Produto]],cálculos!$I$3:$L$50,3,0),0)</f>
        <v>29.9</v>
      </c>
      <c r="H201" s="6">
        <f>IFERROR(VendasSem4[[#This Row],[Quantidade]]*VendasSem4[[#This Row],[Preço Unitário]],0)</f>
        <v>149.5</v>
      </c>
      <c r="I201" s="11"/>
      <c r="J201" t="s">
        <v>109</v>
      </c>
      <c r="K201" s="6">
        <f>IFERROR(IF(VendasSem4[[#This Row],[Id da Venda]]=B202,0,VLOOKUP(VendasSem4[[#This Row],[Região de Entrega]],cálculos!$B$5:$C$9,2,0)),0)</f>
        <v>0</v>
      </c>
      <c r="L201" s="6">
        <f>(VendasSem4[[#This Row],[Subtotal]]*(1-VendasSem4[[#This Row],[Desconto]])+VendasSem4[[#This Row],[Valor de Entrega]])</f>
        <v>149.5</v>
      </c>
      <c r="M201" s="6" t="str">
        <f>IF(VendasSem4[[#This Row],[Id da Venda]]=B202,"",SUMIF(VendasSem4[Id da Venda],VendasSem4[[#This Row],[Id da Venda]],VendasSem4[Total]))</f>
        <v/>
      </c>
    </row>
    <row r="202" spans="2:13" x14ac:dyDescent="0.25">
      <c r="B202">
        <v>58</v>
      </c>
      <c r="C202" s="7">
        <v>45189</v>
      </c>
      <c r="D202" t="s">
        <v>72</v>
      </c>
      <c r="E202" t="str">
        <f>IFERROR(VLOOKUP(VendasSem4[[#This Row],[Produto]],cálculos!$I$3:$L$50,4,0),"")</f>
        <v>Litro</v>
      </c>
      <c r="F202">
        <v>4</v>
      </c>
      <c r="G202" s="6">
        <f>IFERROR(VLOOKUP(VendasSem4[[#This Row],[Produto]],cálculos!$I$3:$L$50,3,0),0)</f>
        <v>2.39</v>
      </c>
      <c r="H202" s="6">
        <f>IFERROR(VendasSem4[[#This Row],[Quantidade]]*VendasSem4[[#This Row],[Preço Unitário]],0)</f>
        <v>9.56</v>
      </c>
      <c r="I202" s="11"/>
      <c r="J202" t="s">
        <v>109</v>
      </c>
      <c r="K202" s="6">
        <f>IFERROR(IF(VendasSem4[[#This Row],[Id da Venda]]=B203,0,VLOOKUP(VendasSem4[[#This Row],[Região de Entrega]],cálculos!$B$5:$C$9,2,0)),0)</f>
        <v>0</v>
      </c>
      <c r="L202" s="6">
        <f>(VendasSem4[[#This Row],[Subtotal]]*(1-VendasSem4[[#This Row],[Desconto]])+VendasSem4[[#This Row],[Valor de Entrega]])</f>
        <v>9.56</v>
      </c>
      <c r="M202" s="6" t="str">
        <f>IF(VendasSem4[[#This Row],[Id da Venda]]=B203,"",SUMIF(VendasSem4[Id da Venda],VendasSem4[[#This Row],[Id da Venda]],VendasSem4[Total]))</f>
        <v/>
      </c>
    </row>
    <row r="203" spans="2:13" x14ac:dyDescent="0.25">
      <c r="B203">
        <v>58</v>
      </c>
      <c r="C203" s="7">
        <v>45189</v>
      </c>
      <c r="D203" t="s">
        <v>126</v>
      </c>
      <c r="E203" t="str">
        <f>IFERROR(VLOOKUP(VendasSem4[[#This Row],[Produto]],cálculos!$I$3:$L$50,4,0),"")</f>
        <v>Unidade</v>
      </c>
      <c r="F203">
        <v>2</v>
      </c>
      <c r="G203" s="6">
        <f>IFERROR(VLOOKUP(VendasSem4[[#This Row],[Produto]],cálculos!$I$3:$L$50,3,0),0)</f>
        <v>7</v>
      </c>
      <c r="H203" s="6">
        <f>IFERROR(VendasSem4[[#This Row],[Quantidade]]*VendasSem4[[#This Row],[Preço Unitário]],0)</f>
        <v>14</v>
      </c>
      <c r="I203" s="11"/>
      <c r="J203" t="s">
        <v>109</v>
      </c>
      <c r="K203" s="6">
        <f>IFERROR(IF(VendasSem4[[#This Row],[Id da Venda]]=B204,0,VLOOKUP(VendasSem4[[#This Row],[Região de Entrega]],cálculos!$B$5:$C$9,2,0)),0)</f>
        <v>0</v>
      </c>
      <c r="L203" s="6">
        <f>(VendasSem4[[#This Row],[Subtotal]]*(1-VendasSem4[[#This Row],[Desconto]])+VendasSem4[[#This Row],[Valor de Entrega]])</f>
        <v>14</v>
      </c>
      <c r="M203" s="6" t="str">
        <f>IF(VendasSem4[[#This Row],[Id da Venda]]=B204,"",SUMIF(VendasSem4[Id da Venda],VendasSem4[[#This Row],[Id da Venda]],VendasSem4[Total]))</f>
        <v/>
      </c>
    </row>
    <row r="204" spans="2:13" x14ac:dyDescent="0.25">
      <c r="B204">
        <v>58</v>
      </c>
      <c r="C204" s="7">
        <v>45189</v>
      </c>
      <c r="D204" t="s">
        <v>39</v>
      </c>
      <c r="E204" t="str">
        <f>IFERROR(VLOOKUP(VendasSem4[[#This Row],[Produto]],cálculos!$I$3:$L$50,4,0),"")</f>
        <v>Kg</v>
      </c>
      <c r="F204">
        <v>1</v>
      </c>
      <c r="G204" s="6">
        <f>IFERROR(VLOOKUP(VendasSem4[[#This Row],[Produto]],cálculos!$I$3:$L$50,3,0),0)</f>
        <v>25.9</v>
      </c>
      <c r="H204" s="6">
        <f>IFERROR(VendasSem4[[#This Row],[Quantidade]]*VendasSem4[[#This Row],[Preço Unitário]],0)</f>
        <v>25.9</v>
      </c>
      <c r="I204" s="11"/>
      <c r="J204" t="s">
        <v>109</v>
      </c>
      <c r="K204" s="6">
        <f>IFERROR(IF(VendasSem4[[#This Row],[Id da Venda]]=B205,0,VLOOKUP(VendasSem4[[#This Row],[Região de Entrega]],cálculos!$B$5:$C$9,2,0)),0)</f>
        <v>0</v>
      </c>
      <c r="L204" s="6">
        <f>(VendasSem4[[#This Row],[Subtotal]]*(1-VendasSem4[[#This Row],[Desconto]])+VendasSem4[[#This Row],[Valor de Entrega]])</f>
        <v>25.9</v>
      </c>
      <c r="M204" s="6" t="str">
        <f>IF(VendasSem4[[#This Row],[Id da Venda]]=B205,"",SUMIF(VendasSem4[Id da Venda],VendasSem4[[#This Row],[Id da Venda]],VendasSem4[Total]))</f>
        <v/>
      </c>
    </row>
    <row r="205" spans="2:13" x14ac:dyDescent="0.25">
      <c r="B205">
        <v>58</v>
      </c>
      <c r="C205" s="7">
        <v>45189</v>
      </c>
      <c r="D205" t="s">
        <v>34</v>
      </c>
      <c r="E205" t="str">
        <f>IFERROR(VLOOKUP(VendasSem4[[#This Row],[Produto]],cálculos!$I$3:$L$50,4,0),"")</f>
        <v>Kg</v>
      </c>
      <c r="F205">
        <v>5</v>
      </c>
      <c r="G205" s="6">
        <f>IFERROR(VLOOKUP(VendasSem4[[#This Row],[Produto]],cálculos!$I$3:$L$50,3,0),0)</f>
        <v>5.82</v>
      </c>
      <c r="H205" s="6">
        <f>IFERROR(VendasSem4[[#This Row],[Quantidade]]*VendasSem4[[#This Row],[Preço Unitário]],0)</f>
        <v>29.1</v>
      </c>
      <c r="I205" s="11"/>
      <c r="J205" t="s">
        <v>109</v>
      </c>
      <c r="K205" s="6">
        <f>IFERROR(IF(VendasSem4[[#This Row],[Id da Venda]]=B206,0,VLOOKUP(VendasSem4[[#This Row],[Região de Entrega]],cálculos!$B$5:$C$9,2,0)),0)</f>
        <v>0</v>
      </c>
      <c r="L205" s="6">
        <f>(VendasSem4[[#This Row],[Subtotal]]*(1-VendasSem4[[#This Row],[Desconto]])+VendasSem4[[#This Row],[Valor de Entrega]])</f>
        <v>29.1</v>
      </c>
      <c r="M205" s="6" t="str">
        <f>IF(VendasSem4[[#This Row],[Id da Venda]]=B206,"",SUMIF(VendasSem4[Id da Venda],VendasSem4[[#This Row],[Id da Venda]],VendasSem4[Total]))</f>
        <v/>
      </c>
    </row>
    <row r="206" spans="2:13" x14ac:dyDescent="0.25">
      <c r="B206">
        <v>58</v>
      </c>
      <c r="C206" s="7">
        <v>45189</v>
      </c>
      <c r="D206" t="s">
        <v>136</v>
      </c>
      <c r="E206" t="str">
        <f>IFERROR(VLOOKUP(VendasSem4[[#This Row],[Produto]],cálculos!$I$3:$L$50,4,0),"")</f>
        <v>Unidade</v>
      </c>
      <c r="F206">
        <v>1</v>
      </c>
      <c r="G206" s="6">
        <f>IFERROR(VLOOKUP(VendasSem4[[#This Row],[Produto]],cálculos!$I$3:$L$50,3,0),0)</f>
        <v>10</v>
      </c>
      <c r="H206" s="6">
        <f>IFERROR(VendasSem4[[#This Row],[Quantidade]]*VendasSem4[[#This Row],[Preço Unitário]],0)</f>
        <v>10</v>
      </c>
      <c r="I206" s="11"/>
      <c r="J206" t="s">
        <v>109</v>
      </c>
      <c r="K206" s="6">
        <f>IFERROR(IF(VendasSem4[[#This Row],[Id da Venda]]=B207,0,VLOOKUP(VendasSem4[[#This Row],[Região de Entrega]],cálculos!$B$5:$C$9,2,0)),0)</f>
        <v>0</v>
      </c>
      <c r="L206" s="6">
        <f>(VendasSem4[[#This Row],[Subtotal]]*(1-VendasSem4[[#This Row],[Desconto]])+VendasSem4[[#This Row],[Valor de Entrega]])</f>
        <v>10</v>
      </c>
      <c r="M206" s="6" t="str">
        <f>IF(VendasSem4[[#This Row],[Id da Venda]]=B207,"",SUMIF(VendasSem4[Id da Venda],VendasSem4[[#This Row],[Id da Venda]],VendasSem4[Total]))</f>
        <v/>
      </c>
    </row>
    <row r="207" spans="2:13" x14ac:dyDescent="0.25">
      <c r="B207">
        <v>58</v>
      </c>
      <c r="C207" s="7">
        <v>45189</v>
      </c>
      <c r="D207" t="s">
        <v>41</v>
      </c>
      <c r="E207" t="str">
        <f>IFERROR(VLOOKUP(VendasSem4[[#This Row],[Produto]],cálculos!$I$3:$L$50,4,0),"")</f>
        <v>Litro</v>
      </c>
      <c r="F207">
        <v>5</v>
      </c>
      <c r="G207" s="6">
        <f>IFERROR(VLOOKUP(VendasSem4[[#This Row],[Produto]],cálculos!$I$3:$L$50,3,0),0)</f>
        <v>3.45</v>
      </c>
      <c r="H207" s="6">
        <f>IFERROR(VendasSem4[[#This Row],[Quantidade]]*VendasSem4[[#This Row],[Preço Unitário]],0)</f>
        <v>17.25</v>
      </c>
      <c r="I207" s="11"/>
      <c r="J207" t="s">
        <v>109</v>
      </c>
      <c r="K207" s="6">
        <f>IFERROR(IF(VendasSem4[[#This Row],[Id da Venda]]=B208,0,VLOOKUP(VendasSem4[[#This Row],[Região de Entrega]],cálculos!$B$5:$C$9,2,0)),0)</f>
        <v>0</v>
      </c>
      <c r="L207" s="6">
        <f>(VendasSem4[[#This Row],[Subtotal]]*(1-VendasSem4[[#This Row],[Desconto]])+VendasSem4[[#This Row],[Valor de Entrega]])</f>
        <v>17.25</v>
      </c>
      <c r="M207" s="6" t="str">
        <f>IF(VendasSem4[[#This Row],[Id da Venda]]=B208,"",SUMIF(VendasSem4[Id da Venda],VendasSem4[[#This Row],[Id da Venda]],VendasSem4[Total]))</f>
        <v/>
      </c>
    </row>
    <row r="208" spans="2:13" x14ac:dyDescent="0.25">
      <c r="B208">
        <v>58</v>
      </c>
      <c r="C208" s="7">
        <v>45189</v>
      </c>
      <c r="D208" t="s">
        <v>132</v>
      </c>
      <c r="E208" t="str">
        <f>IFERROR(VLOOKUP(VendasSem4[[#This Row],[Produto]],cálculos!$I$3:$L$50,4,0),"")</f>
        <v>Kg</v>
      </c>
      <c r="F208">
        <v>0.5</v>
      </c>
      <c r="G208" s="6">
        <f>IFERROR(VLOOKUP(VendasSem4[[#This Row],[Produto]],cálculos!$I$3:$L$50,3,0),0)</f>
        <v>2.9</v>
      </c>
      <c r="H208" s="6">
        <f>IFERROR(VendasSem4[[#This Row],[Quantidade]]*VendasSem4[[#This Row],[Preço Unitário]],0)</f>
        <v>1.45</v>
      </c>
      <c r="I208" s="11"/>
      <c r="J208" t="s">
        <v>109</v>
      </c>
      <c r="K208" s="6">
        <f>IFERROR(IF(VendasSem4[[#This Row],[Id da Venda]]=B209,0,VLOOKUP(VendasSem4[[#This Row],[Região de Entrega]],cálculos!$B$5:$C$9,2,0)),0)</f>
        <v>0</v>
      </c>
      <c r="L208" s="6">
        <f>(VendasSem4[[#This Row],[Subtotal]]*(1-VendasSem4[[#This Row],[Desconto]])+VendasSem4[[#This Row],[Valor de Entrega]])</f>
        <v>1.45</v>
      </c>
      <c r="M208" s="6" t="str">
        <f>IF(VendasSem4[[#This Row],[Id da Venda]]=B209,"",SUMIF(VendasSem4[Id da Venda],VendasSem4[[#This Row],[Id da Venda]],VendasSem4[Total]))</f>
        <v/>
      </c>
    </row>
    <row r="209" spans="2:13" x14ac:dyDescent="0.25">
      <c r="B209">
        <v>58</v>
      </c>
      <c r="C209" s="7">
        <v>45189</v>
      </c>
      <c r="D209" t="s">
        <v>137</v>
      </c>
      <c r="E209" t="str">
        <f>IFERROR(VLOOKUP(VendasSem4[[#This Row],[Produto]],cálculos!$I$3:$L$50,4,0),"")</f>
        <v>Kg</v>
      </c>
      <c r="F209">
        <v>0.8</v>
      </c>
      <c r="G209" s="6">
        <f>IFERROR(VLOOKUP(VendasSem4[[#This Row],[Produto]],cálculos!$I$3:$L$50,3,0),0)</f>
        <v>7</v>
      </c>
      <c r="H209" s="6">
        <f>IFERROR(VendasSem4[[#This Row],[Quantidade]]*VendasSem4[[#This Row],[Preço Unitário]],0)</f>
        <v>5.6000000000000005</v>
      </c>
      <c r="I209" s="11"/>
      <c r="J209" t="s">
        <v>109</v>
      </c>
      <c r="K209" s="6">
        <f>IFERROR(IF(VendasSem4[[#This Row],[Id da Venda]]=B210,0,VLOOKUP(VendasSem4[[#This Row],[Região de Entrega]],cálculos!$B$5:$C$9,2,0)),0)</f>
        <v>0</v>
      </c>
      <c r="L209" s="6">
        <f>(VendasSem4[[#This Row],[Subtotal]]*(1-VendasSem4[[#This Row],[Desconto]])+VendasSem4[[#This Row],[Valor de Entrega]])</f>
        <v>5.6000000000000005</v>
      </c>
      <c r="M209" s="6" t="str">
        <f>IF(VendasSem4[[#This Row],[Id da Venda]]=B210,"",SUMIF(VendasSem4[Id da Venda],VendasSem4[[#This Row],[Id da Venda]],VendasSem4[Total]))</f>
        <v/>
      </c>
    </row>
    <row r="210" spans="2:13" x14ac:dyDescent="0.25">
      <c r="B210">
        <v>58</v>
      </c>
      <c r="C210" s="7">
        <v>45189</v>
      </c>
      <c r="D210" t="s">
        <v>130</v>
      </c>
      <c r="E210" t="str">
        <f>IFERROR(VLOOKUP(VendasSem4[[#This Row],[Produto]],cálculos!$I$3:$L$50,4,0),"")</f>
        <v>Kg</v>
      </c>
      <c r="F210">
        <v>1</v>
      </c>
      <c r="G210" s="6">
        <f>IFERROR(VLOOKUP(VendasSem4[[#This Row],[Produto]],cálculos!$I$3:$L$50,3,0),0)</f>
        <v>2.8</v>
      </c>
      <c r="H210" s="6">
        <f>IFERROR(VendasSem4[[#This Row],[Quantidade]]*VendasSem4[[#This Row],[Preço Unitário]],0)</f>
        <v>2.8</v>
      </c>
      <c r="I210" s="11"/>
      <c r="J210" t="s">
        <v>109</v>
      </c>
      <c r="K210" s="6">
        <f>IFERROR(IF(VendasSem4[[#This Row],[Id da Venda]]=B211,0,VLOOKUP(VendasSem4[[#This Row],[Região de Entrega]],cálculos!$B$5:$C$9,2,0)),0)</f>
        <v>0</v>
      </c>
      <c r="L210" s="6">
        <f>(VendasSem4[[#This Row],[Subtotal]]*(1-VendasSem4[[#This Row],[Desconto]])+VendasSem4[[#This Row],[Valor de Entrega]])</f>
        <v>2.8</v>
      </c>
      <c r="M210" s="6">
        <f>IF(VendasSem4[[#This Row],[Id da Venda]]=B211,"",SUMIF(VendasSem4[Id da Venda],VendasSem4[[#This Row],[Id da Venda]],VendasSem4[Total]))</f>
        <v>684.17600000000004</v>
      </c>
    </row>
    <row r="211" spans="2:13" x14ac:dyDescent="0.25">
      <c r="B211">
        <v>59</v>
      </c>
      <c r="C211" s="7">
        <v>45189</v>
      </c>
      <c r="D211" t="s">
        <v>58</v>
      </c>
      <c r="E211" t="str">
        <f>IFERROR(VLOOKUP(VendasSem4[[#This Row],[Produto]],cálculos!$I$3:$L$50,4,0),"")</f>
        <v>Maço</v>
      </c>
      <c r="F211">
        <v>2</v>
      </c>
      <c r="G211" s="6">
        <f>IFERROR(VLOOKUP(VendasSem4[[#This Row],[Produto]],cálculos!$I$3:$L$50,3,0),0)</f>
        <v>6.75</v>
      </c>
      <c r="H211" s="6">
        <f>IFERROR(VendasSem4[[#This Row],[Quantidade]]*VendasSem4[[#This Row],[Preço Unitário]],0)</f>
        <v>13.5</v>
      </c>
      <c r="I211" s="11"/>
      <c r="J211" t="s">
        <v>108</v>
      </c>
      <c r="K211" s="6">
        <f>IFERROR(IF(VendasSem4[[#This Row],[Id da Venda]]=B212,0,VLOOKUP(VendasSem4[[#This Row],[Região de Entrega]],cálculos!$B$5:$C$9,2,0)),0)</f>
        <v>0</v>
      </c>
      <c r="L211" s="6">
        <f>(VendasSem4[[#This Row],[Subtotal]]*(1-VendasSem4[[#This Row],[Desconto]])+VendasSem4[[#This Row],[Valor de Entrega]])</f>
        <v>13.5</v>
      </c>
      <c r="M211" s="6" t="str">
        <f>IF(VendasSem4[[#This Row],[Id da Venda]]=B212,"",SUMIF(VendasSem4[Id da Venda],VendasSem4[[#This Row],[Id da Venda]],VendasSem4[Total]))</f>
        <v/>
      </c>
    </row>
    <row r="212" spans="2:13" x14ac:dyDescent="0.25">
      <c r="B212">
        <v>59</v>
      </c>
      <c r="C212" s="7">
        <v>45189</v>
      </c>
      <c r="D212" t="s">
        <v>57</v>
      </c>
      <c r="E212" t="str">
        <f>IFERROR(VLOOKUP(VendasSem4[[#This Row],[Produto]],cálculos!$I$3:$L$50,4,0),"")</f>
        <v>Barra</v>
      </c>
      <c r="F212">
        <v>2</v>
      </c>
      <c r="G212" s="6">
        <f>IFERROR(VLOOKUP(VendasSem4[[#This Row],[Produto]],cálculos!$I$3:$L$50,3,0),0)</f>
        <v>4.99</v>
      </c>
      <c r="H212" s="6">
        <f>IFERROR(VendasSem4[[#This Row],[Quantidade]]*VendasSem4[[#This Row],[Preço Unitário]],0)</f>
        <v>9.98</v>
      </c>
      <c r="I212" s="11"/>
      <c r="J212" t="s">
        <v>108</v>
      </c>
      <c r="K212" s="6">
        <f>IFERROR(IF(VendasSem4[[#This Row],[Id da Venda]]=B213,0,VLOOKUP(VendasSem4[[#This Row],[Região de Entrega]],cálculos!$B$5:$C$9,2,0)),0)</f>
        <v>0</v>
      </c>
      <c r="L212" s="6">
        <f>(VendasSem4[[#This Row],[Subtotal]]*(1-VendasSem4[[#This Row],[Desconto]])+VendasSem4[[#This Row],[Valor de Entrega]])</f>
        <v>9.98</v>
      </c>
      <c r="M212" s="6" t="str">
        <f>IF(VendasSem4[[#This Row],[Id da Venda]]=B213,"",SUMIF(VendasSem4[Id da Venda],VendasSem4[[#This Row],[Id da Venda]],VendasSem4[Total]))</f>
        <v/>
      </c>
    </row>
    <row r="213" spans="2:13" x14ac:dyDescent="0.25">
      <c r="B213">
        <v>59</v>
      </c>
      <c r="C213" s="7">
        <v>45189</v>
      </c>
      <c r="D213" t="s">
        <v>128</v>
      </c>
      <c r="E213" t="str">
        <f>IFERROR(VLOOKUP(VendasSem4[[#This Row],[Produto]],cálculos!$I$3:$L$50,4,0),"")</f>
        <v>Kg</v>
      </c>
      <c r="F213">
        <v>1</v>
      </c>
      <c r="G213" s="6">
        <f>IFERROR(VLOOKUP(VendasSem4[[#This Row],[Produto]],cálculos!$I$3:$L$50,3,0),0)</f>
        <v>10</v>
      </c>
      <c r="H213" s="6">
        <f>IFERROR(VendasSem4[[#This Row],[Quantidade]]*VendasSem4[[#This Row],[Preço Unitário]],0)</f>
        <v>10</v>
      </c>
      <c r="I213" s="11"/>
      <c r="J213" t="s">
        <v>108</v>
      </c>
      <c r="K213" s="6">
        <f>IFERROR(IF(VendasSem4[[#This Row],[Id da Venda]]=B214,0,VLOOKUP(VendasSem4[[#This Row],[Região de Entrega]],cálculos!$B$5:$C$9,2,0)),0)</f>
        <v>0</v>
      </c>
      <c r="L213" s="6">
        <f>(VendasSem4[[#This Row],[Subtotal]]*(1-VendasSem4[[#This Row],[Desconto]])+VendasSem4[[#This Row],[Valor de Entrega]])</f>
        <v>10</v>
      </c>
      <c r="M213" s="6" t="str">
        <f>IF(VendasSem4[[#This Row],[Id da Venda]]=B214,"",SUMIF(VendasSem4[Id da Venda],VendasSem4[[#This Row],[Id da Venda]],VendasSem4[Total]))</f>
        <v/>
      </c>
    </row>
    <row r="214" spans="2:13" x14ac:dyDescent="0.25">
      <c r="B214">
        <v>59</v>
      </c>
      <c r="C214" s="7">
        <v>45189</v>
      </c>
      <c r="D214" t="s">
        <v>124</v>
      </c>
      <c r="E214" t="str">
        <f>IFERROR(VLOOKUP(VendasSem4[[#This Row],[Produto]],cálculos!$I$3:$L$50,4,0),"")</f>
        <v>Kg</v>
      </c>
      <c r="F214">
        <v>1</v>
      </c>
      <c r="G214" s="6">
        <f>IFERROR(VLOOKUP(VendasSem4[[#This Row],[Produto]],cálculos!$I$3:$L$50,3,0),0)</f>
        <v>7.8</v>
      </c>
      <c r="H214" s="6">
        <f>IFERROR(VendasSem4[[#This Row],[Quantidade]]*VendasSem4[[#This Row],[Preço Unitário]],0)</f>
        <v>7.8</v>
      </c>
      <c r="I214" s="11"/>
      <c r="J214" t="s">
        <v>108</v>
      </c>
      <c r="K214" s="6">
        <f>IFERROR(IF(VendasSem4[[#This Row],[Id da Venda]]=B215,0,VLOOKUP(VendasSem4[[#This Row],[Região de Entrega]],cálculos!$B$5:$C$9,2,0)),0)</f>
        <v>0</v>
      </c>
      <c r="L214" s="6">
        <f>(VendasSem4[[#This Row],[Subtotal]]*(1-VendasSem4[[#This Row],[Desconto]])+VendasSem4[[#This Row],[Valor de Entrega]])</f>
        <v>7.8</v>
      </c>
      <c r="M214" s="6" t="str">
        <f>IF(VendasSem4[[#This Row],[Id da Venda]]=B215,"",SUMIF(VendasSem4[Id da Venda],VendasSem4[[#This Row],[Id da Venda]],VendasSem4[Total]))</f>
        <v/>
      </c>
    </row>
    <row r="215" spans="2:13" x14ac:dyDescent="0.25">
      <c r="B215">
        <v>59</v>
      </c>
      <c r="C215" s="7">
        <v>45189</v>
      </c>
      <c r="D215" t="s">
        <v>130</v>
      </c>
      <c r="E215" t="str">
        <f>IFERROR(VLOOKUP(VendasSem4[[#This Row],[Produto]],cálculos!$I$3:$L$50,4,0),"")</f>
        <v>Kg</v>
      </c>
      <c r="F215">
        <v>3</v>
      </c>
      <c r="G215" s="6">
        <f>IFERROR(VLOOKUP(VendasSem4[[#This Row],[Produto]],cálculos!$I$3:$L$50,3,0),0)</f>
        <v>2.8</v>
      </c>
      <c r="H215" s="6">
        <f>IFERROR(VendasSem4[[#This Row],[Quantidade]]*VendasSem4[[#This Row],[Preço Unitário]],0)</f>
        <v>8.3999999999999986</v>
      </c>
      <c r="I215" s="11"/>
      <c r="J215" t="s">
        <v>108</v>
      </c>
      <c r="K215" s="6">
        <f>IFERROR(IF(VendasSem4[[#This Row],[Id da Venda]]=B216,0,VLOOKUP(VendasSem4[[#This Row],[Região de Entrega]],cálculos!$B$5:$C$9,2,0)),0)</f>
        <v>10</v>
      </c>
      <c r="L215" s="6">
        <f>(VendasSem4[[#This Row],[Subtotal]]*(1-VendasSem4[[#This Row],[Desconto]])+VendasSem4[[#This Row],[Valor de Entrega]])</f>
        <v>18.399999999999999</v>
      </c>
      <c r="M215" s="6">
        <f>IF(VendasSem4[[#This Row],[Id da Venda]]=B216,"",SUMIF(VendasSem4[Id da Venda],VendasSem4[[#This Row],[Id da Venda]],VendasSem4[Total]))</f>
        <v>59.68</v>
      </c>
    </row>
    <row r="216" spans="2:13" x14ac:dyDescent="0.25">
      <c r="B216">
        <v>60</v>
      </c>
      <c r="C216" s="7">
        <v>45189</v>
      </c>
      <c r="D216" t="s">
        <v>32</v>
      </c>
      <c r="E216" t="str">
        <f>IFERROR(VLOOKUP(VendasSem4[[#This Row],[Produto]],cálculos!$I$3:$L$50,4,0),"")</f>
        <v>Kg</v>
      </c>
      <c r="F216">
        <v>10</v>
      </c>
      <c r="G216" s="6">
        <f>IFERROR(VLOOKUP(VendasSem4[[#This Row],[Produto]],cálculos!$I$3:$L$50,3,0),0)</f>
        <v>2.4900000000000002</v>
      </c>
      <c r="H216" s="6">
        <f>IFERROR(VendasSem4[[#This Row],[Quantidade]]*VendasSem4[[#This Row],[Preço Unitário]],0)</f>
        <v>24.900000000000002</v>
      </c>
      <c r="I216" s="11"/>
      <c r="J216" t="s">
        <v>110</v>
      </c>
      <c r="K216" s="6">
        <f>IFERROR(IF(VendasSem4[[#This Row],[Id da Venda]]=B217,0,VLOOKUP(VendasSem4[[#This Row],[Região de Entrega]],cálculos!$B$5:$C$9,2,0)),0)</f>
        <v>0</v>
      </c>
      <c r="L216" s="6">
        <f>(VendasSem4[[#This Row],[Subtotal]]*(1-VendasSem4[[#This Row],[Desconto]])+VendasSem4[[#This Row],[Valor de Entrega]])</f>
        <v>24.900000000000002</v>
      </c>
      <c r="M216" s="6" t="str">
        <f>IF(VendasSem4[[#This Row],[Id da Venda]]=B217,"",SUMIF(VendasSem4[Id da Venda],VendasSem4[[#This Row],[Id da Venda]],VendasSem4[Total]))</f>
        <v/>
      </c>
    </row>
    <row r="217" spans="2:13" x14ac:dyDescent="0.25">
      <c r="B217">
        <v>60</v>
      </c>
      <c r="C217" s="7">
        <v>45189</v>
      </c>
      <c r="D217" t="s">
        <v>33</v>
      </c>
      <c r="E217" t="str">
        <f>IFERROR(VLOOKUP(VendasSem4[[#This Row],[Produto]],cálculos!$I$3:$L$50,4,0),"")</f>
        <v>Kg</v>
      </c>
      <c r="F217">
        <v>5</v>
      </c>
      <c r="G217" s="6">
        <f>IFERROR(VLOOKUP(VendasSem4[[#This Row],[Produto]],cálculos!$I$3:$L$50,3,0),0)</f>
        <v>4.28</v>
      </c>
      <c r="H217" s="6">
        <f>IFERROR(VendasSem4[[#This Row],[Quantidade]]*VendasSem4[[#This Row],[Preço Unitário]],0)</f>
        <v>21.400000000000002</v>
      </c>
      <c r="I217" s="11"/>
      <c r="J217" t="s">
        <v>110</v>
      </c>
      <c r="K217" s="6">
        <f>IFERROR(IF(VendasSem4[[#This Row],[Id da Venda]]=B218,0,VLOOKUP(VendasSem4[[#This Row],[Região de Entrega]],cálculos!$B$5:$C$9,2,0)),0)</f>
        <v>0</v>
      </c>
      <c r="L217" s="6">
        <f>(VendasSem4[[#This Row],[Subtotal]]*(1-VendasSem4[[#This Row],[Desconto]])+VendasSem4[[#This Row],[Valor de Entrega]])</f>
        <v>21.400000000000002</v>
      </c>
      <c r="M217" s="6" t="str">
        <f>IF(VendasSem4[[#This Row],[Id da Venda]]=B218,"",SUMIF(VendasSem4[Id da Venda],VendasSem4[[#This Row],[Id da Venda]],VendasSem4[Total]))</f>
        <v/>
      </c>
    </row>
    <row r="218" spans="2:13" x14ac:dyDescent="0.25">
      <c r="B218">
        <v>60</v>
      </c>
      <c r="C218" s="7">
        <v>45189</v>
      </c>
      <c r="D218" t="s">
        <v>37</v>
      </c>
      <c r="E218" t="str">
        <f>IFERROR(VLOOKUP(VendasSem4[[#This Row],[Produto]],cálculos!$I$3:$L$50,4,0),"")</f>
        <v>Kg</v>
      </c>
      <c r="F218">
        <v>6</v>
      </c>
      <c r="G218" s="6">
        <f>IFERROR(VLOOKUP(VendasSem4[[#This Row],[Produto]],cálculos!$I$3:$L$50,3,0),0)</f>
        <v>6.98</v>
      </c>
      <c r="H218" s="6">
        <f>IFERROR(VendasSem4[[#This Row],[Quantidade]]*VendasSem4[[#This Row],[Preço Unitário]],0)</f>
        <v>41.88</v>
      </c>
      <c r="I218" s="11"/>
      <c r="J218" t="s">
        <v>110</v>
      </c>
      <c r="K218" s="6">
        <f>IFERROR(IF(VendasSem4[[#This Row],[Id da Venda]]=B219,0,VLOOKUP(VendasSem4[[#This Row],[Região de Entrega]],cálculos!$B$5:$C$9,2,0)),0)</f>
        <v>0</v>
      </c>
      <c r="L218" s="6">
        <f>(VendasSem4[[#This Row],[Subtotal]]*(1-VendasSem4[[#This Row],[Desconto]])+VendasSem4[[#This Row],[Valor de Entrega]])</f>
        <v>41.88</v>
      </c>
      <c r="M218" s="6" t="str">
        <f>IF(VendasSem4[[#This Row],[Id da Venda]]=B219,"",SUMIF(VendasSem4[Id da Venda],VendasSem4[[#This Row],[Id da Venda]],VendasSem4[Total]))</f>
        <v/>
      </c>
    </row>
    <row r="219" spans="2:13" x14ac:dyDescent="0.25">
      <c r="B219">
        <v>60</v>
      </c>
      <c r="C219" s="7">
        <v>45189</v>
      </c>
      <c r="D219" t="s">
        <v>71</v>
      </c>
      <c r="E219" t="str">
        <f>IFERROR(VLOOKUP(VendasSem4[[#This Row],[Produto]],cálculos!$I$3:$L$50,4,0),"")</f>
        <v>Unidade</v>
      </c>
      <c r="F219">
        <v>2</v>
      </c>
      <c r="G219" s="6">
        <f>IFERROR(VLOOKUP(VendasSem4[[#This Row],[Produto]],cálculos!$I$3:$L$50,3,0),0)</f>
        <v>2.89</v>
      </c>
      <c r="H219" s="6">
        <f>IFERROR(VendasSem4[[#This Row],[Quantidade]]*VendasSem4[[#This Row],[Preço Unitário]],0)</f>
        <v>5.78</v>
      </c>
      <c r="I219" s="11"/>
      <c r="J219" t="s">
        <v>110</v>
      </c>
      <c r="K219" s="6">
        <f>IFERROR(IF(VendasSem4[[#This Row],[Id da Venda]]=B220,0,VLOOKUP(VendasSem4[[#This Row],[Região de Entrega]],cálculos!$B$5:$C$9,2,0)),0)</f>
        <v>0</v>
      </c>
      <c r="L219" s="6">
        <f>(VendasSem4[[#This Row],[Subtotal]]*(1-VendasSem4[[#This Row],[Desconto]])+VendasSem4[[#This Row],[Valor de Entrega]])</f>
        <v>5.78</v>
      </c>
      <c r="M219" s="6" t="str">
        <f>IF(VendasSem4[[#This Row],[Id da Venda]]=B220,"",SUMIF(VendasSem4[Id da Venda],VendasSem4[[#This Row],[Id da Venda]],VendasSem4[Total]))</f>
        <v/>
      </c>
    </row>
    <row r="220" spans="2:13" x14ac:dyDescent="0.25">
      <c r="B220">
        <v>60</v>
      </c>
      <c r="C220" s="7">
        <v>45189</v>
      </c>
      <c r="D220" t="s">
        <v>38</v>
      </c>
      <c r="E220" t="str">
        <f>IFERROR(VLOOKUP(VendasSem4[[#This Row],[Produto]],cálculos!$I$3:$L$50,4,0),"")</f>
        <v>Kg</v>
      </c>
      <c r="F220">
        <v>3</v>
      </c>
      <c r="G220" s="6">
        <f>IFERROR(VLOOKUP(VendasSem4[[#This Row],[Produto]],cálculos!$I$3:$L$50,3,0),0)</f>
        <v>23.9</v>
      </c>
      <c r="H220" s="6">
        <f>IFERROR(VendasSem4[[#This Row],[Quantidade]]*VendasSem4[[#This Row],[Preço Unitário]],0)</f>
        <v>71.699999999999989</v>
      </c>
      <c r="I220" s="11"/>
      <c r="J220" t="s">
        <v>110</v>
      </c>
      <c r="K220" s="6">
        <f>IFERROR(IF(VendasSem4[[#This Row],[Id da Venda]]=B221,0,VLOOKUP(VendasSem4[[#This Row],[Região de Entrega]],cálculos!$B$5:$C$9,2,0)),0)</f>
        <v>0</v>
      </c>
      <c r="L220" s="6">
        <f>(VendasSem4[[#This Row],[Subtotal]]*(1-VendasSem4[[#This Row],[Desconto]])+VendasSem4[[#This Row],[Valor de Entrega]])</f>
        <v>71.699999999999989</v>
      </c>
      <c r="M220" s="6" t="str">
        <f>IF(VendasSem4[[#This Row],[Id da Venda]]=B221,"",SUMIF(VendasSem4[Id da Venda],VendasSem4[[#This Row],[Id da Venda]],VendasSem4[Total]))</f>
        <v/>
      </c>
    </row>
    <row r="221" spans="2:13" x14ac:dyDescent="0.25">
      <c r="B221">
        <v>60</v>
      </c>
      <c r="C221" s="7">
        <v>45189</v>
      </c>
      <c r="D221" t="s">
        <v>120</v>
      </c>
      <c r="E221" t="str">
        <f>IFERROR(VLOOKUP(VendasSem4[[#This Row],[Produto]],cálculos!$I$3:$L$50,4,0),"")</f>
        <v>Kg</v>
      </c>
      <c r="F221">
        <v>2</v>
      </c>
      <c r="G221" s="6">
        <f>IFERROR(VLOOKUP(VendasSem4[[#This Row],[Produto]],cálculos!$I$3:$L$50,3,0),0)</f>
        <v>4.5</v>
      </c>
      <c r="H221" s="6">
        <f>IFERROR(VendasSem4[[#This Row],[Quantidade]]*VendasSem4[[#This Row],[Preço Unitário]],0)</f>
        <v>9</v>
      </c>
      <c r="I221" s="11"/>
      <c r="J221" t="s">
        <v>110</v>
      </c>
      <c r="K221" s="6">
        <f>IFERROR(IF(VendasSem4[[#This Row],[Id da Venda]]=B222,0,VLOOKUP(VendasSem4[[#This Row],[Região de Entrega]],cálculos!$B$5:$C$9,2,0)),0)</f>
        <v>0</v>
      </c>
      <c r="L221" s="6">
        <f>(VendasSem4[[#This Row],[Subtotal]]*(1-VendasSem4[[#This Row],[Desconto]])+VendasSem4[[#This Row],[Valor de Entrega]])</f>
        <v>9</v>
      </c>
      <c r="M221" s="6" t="str">
        <f>IF(VendasSem4[[#This Row],[Id da Venda]]=B222,"",SUMIF(VendasSem4[Id da Venda],VendasSem4[[#This Row],[Id da Venda]],VendasSem4[Total]))</f>
        <v/>
      </c>
    </row>
    <row r="222" spans="2:13" x14ac:dyDescent="0.25">
      <c r="B222">
        <v>60</v>
      </c>
      <c r="C222" s="7">
        <v>45189</v>
      </c>
      <c r="D222" t="s">
        <v>66</v>
      </c>
      <c r="E222" t="str">
        <f>IFERROR(VLOOKUP(VendasSem4[[#This Row],[Produto]],cálculos!$I$3:$L$50,4,0),"")</f>
        <v>Litro</v>
      </c>
      <c r="F222">
        <v>2</v>
      </c>
      <c r="G222" s="6">
        <f>IFERROR(VLOOKUP(VendasSem4[[#This Row],[Produto]],cálculos!$I$3:$L$50,3,0),0)</f>
        <v>1.49</v>
      </c>
      <c r="H222" s="6">
        <f>IFERROR(VendasSem4[[#This Row],[Quantidade]]*VendasSem4[[#This Row],[Preço Unitário]],0)</f>
        <v>2.98</v>
      </c>
      <c r="I222" s="11"/>
      <c r="J222" t="s">
        <v>110</v>
      </c>
      <c r="K222" s="6">
        <f>IFERROR(IF(VendasSem4[[#This Row],[Id da Venda]]=B223,0,VLOOKUP(VendasSem4[[#This Row],[Região de Entrega]],cálculos!$B$5:$C$9,2,0)),0)</f>
        <v>0</v>
      </c>
      <c r="L222" s="6">
        <f>(VendasSem4[[#This Row],[Subtotal]]*(1-VendasSem4[[#This Row],[Desconto]])+VendasSem4[[#This Row],[Valor de Entrega]])</f>
        <v>2.98</v>
      </c>
      <c r="M222" s="6" t="str">
        <f>IF(VendasSem4[[#This Row],[Id da Venda]]=B223,"",SUMIF(VendasSem4[Id da Venda],VendasSem4[[#This Row],[Id da Venda]],VendasSem4[Total]))</f>
        <v/>
      </c>
    </row>
    <row r="223" spans="2:13" x14ac:dyDescent="0.25">
      <c r="B223">
        <v>60</v>
      </c>
      <c r="C223" s="7">
        <v>45189</v>
      </c>
      <c r="D223" t="s">
        <v>121</v>
      </c>
      <c r="E223" t="str">
        <f>IFERROR(VLOOKUP(VendasSem4[[#This Row],[Produto]],cálculos!$I$3:$L$50,4,0),"")</f>
        <v>Kg</v>
      </c>
      <c r="F223">
        <v>1</v>
      </c>
      <c r="G223" s="6">
        <f>IFERROR(VLOOKUP(VendasSem4[[#This Row],[Produto]],cálculos!$I$3:$L$50,3,0),0)</f>
        <v>12</v>
      </c>
      <c r="H223" s="6">
        <f>IFERROR(VendasSem4[[#This Row],[Quantidade]]*VendasSem4[[#This Row],[Preço Unitário]],0)</f>
        <v>12</v>
      </c>
      <c r="I223" s="11"/>
      <c r="J223" t="s">
        <v>110</v>
      </c>
      <c r="K223" s="6">
        <f>IFERROR(IF(VendasSem4[[#This Row],[Id da Venda]]=B224,0,VLOOKUP(VendasSem4[[#This Row],[Região de Entrega]],cálculos!$B$5:$C$9,2,0)),0)</f>
        <v>0</v>
      </c>
      <c r="L223" s="6">
        <f>(VendasSem4[[#This Row],[Subtotal]]*(1-VendasSem4[[#This Row],[Desconto]])+VendasSem4[[#This Row],[Valor de Entrega]])</f>
        <v>12</v>
      </c>
      <c r="M223" s="6" t="str">
        <f>IF(VendasSem4[[#This Row],[Id da Venda]]=B224,"",SUMIF(VendasSem4[Id da Venda],VendasSem4[[#This Row],[Id da Venda]],VendasSem4[Total]))</f>
        <v/>
      </c>
    </row>
    <row r="224" spans="2:13" x14ac:dyDescent="0.25">
      <c r="B224">
        <v>60</v>
      </c>
      <c r="C224" s="7">
        <v>45189</v>
      </c>
      <c r="D224" t="s">
        <v>35</v>
      </c>
      <c r="E224" t="str">
        <f>IFERROR(VLOOKUP(VendasSem4[[#This Row],[Produto]],cálculos!$I$3:$L$50,4,0),"")</f>
        <v>Unidade</v>
      </c>
      <c r="F224">
        <v>2</v>
      </c>
      <c r="G224" s="6">
        <f>IFERROR(VLOOKUP(VendasSem4[[#This Row],[Produto]],cálculos!$I$3:$L$50,3,0),0)</f>
        <v>2.99</v>
      </c>
      <c r="H224" s="6">
        <f>IFERROR(VendasSem4[[#This Row],[Quantidade]]*VendasSem4[[#This Row],[Preço Unitário]],0)</f>
        <v>5.98</v>
      </c>
      <c r="I224" s="11"/>
      <c r="J224" t="s">
        <v>110</v>
      </c>
      <c r="K224" s="6">
        <f>IFERROR(IF(VendasSem4[[#This Row],[Id da Venda]]=B225,0,VLOOKUP(VendasSem4[[#This Row],[Região de Entrega]],cálculos!$B$5:$C$9,2,0)),0)</f>
        <v>0</v>
      </c>
      <c r="L224" s="6">
        <f>(VendasSem4[[#This Row],[Subtotal]]*(1-VendasSem4[[#This Row],[Desconto]])+VendasSem4[[#This Row],[Valor de Entrega]])</f>
        <v>5.98</v>
      </c>
      <c r="M224" s="6" t="str">
        <f>IF(VendasSem4[[#This Row],[Id da Venda]]=B225,"",SUMIF(VendasSem4[Id da Venda],VendasSem4[[#This Row],[Id da Venda]],VendasSem4[Total]))</f>
        <v/>
      </c>
    </row>
    <row r="225" spans="2:13" x14ac:dyDescent="0.25">
      <c r="B225">
        <v>60</v>
      </c>
      <c r="C225" s="7">
        <v>45189</v>
      </c>
      <c r="D225" t="s">
        <v>72</v>
      </c>
      <c r="E225" t="str">
        <f>IFERROR(VLOOKUP(VendasSem4[[#This Row],[Produto]],cálculos!$I$3:$L$50,4,0),"")</f>
        <v>Litro</v>
      </c>
      <c r="F225">
        <v>1</v>
      </c>
      <c r="G225" s="6">
        <f>IFERROR(VLOOKUP(VendasSem4[[#This Row],[Produto]],cálculos!$I$3:$L$50,3,0),0)</f>
        <v>2.39</v>
      </c>
      <c r="H225" s="6">
        <f>IFERROR(VendasSem4[[#This Row],[Quantidade]]*VendasSem4[[#This Row],[Preço Unitário]],0)</f>
        <v>2.39</v>
      </c>
      <c r="I225" s="11"/>
      <c r="J225" t="s">
        <v>110</v>
      </c>
      <c r="K225" s="6">
        <f>IFERROR(IF(VendasSem4[[#This Row],[Id da Venda]]=B226,0,VLOOKUP(VendasSem4[[#This Row],[Região de Entrega]],cálculos!$B$5:$C$9,2,0)),0)</f>
        <v>0</v>
      </c>
      <c r="L225" s="6">
        <f>(VendasSem4[[#This Row],[Subtotal]]*(1-VendasSem4[[#This Row],[Desconto]])+VendasSem4[[#This Row],[Valor de Entrega]])</f>
        <v>2.39</v>
      </c>
      <c r="M225" s="6" t="str">
        <f>IF(VendasSem4[[#This Row],[Id da Venda]]=B226,"",SUMIF(VendasSem4[Id da Venda],VendasSem4[[#This Row],[Id da Venda]],VendasSem4[Total]))</f>
        <v/>
      </c>
    </row>
    <row r="226" spans="2:13" x14ac:dyDescent="0.25">
      <c r="B226">
        <v>60</v>
      </c>
      <c r="C226" s="7">
        <v>45189</v>
      </c>
      <c r="D226" t="s">
        <v>41</v>
      </c>
      <c r="E226" t="str">
        <f>IFERROR(VLOOKUP(VendasSem4[[#This Row],[Produto]],cálculos!$I$3:$L$50,4,0),"")</f>
        <v>Litro</v>
      </c>
      <c r="F226">
        <v>2</v>
      </c>
      <c r="G226" s="6">
        <f>IFERROR(VLOOKUP(VendasSem4[[#This Row],[Produto]],cálculos!$I$3:$L$50,3,0),0)</f>
        <v>3.45</v>
      </c>
      <c r="H226" s="6">
        <f>IFERROR(VendasSem4[[#This Row],[Quantidade]]*VendasSem4[[#This Row],[Preço Unitário]],0)</f>
        <v>6.9</v>
      </c>
      <c r="I226" s="11"/>
      <c r="J226" t="s">
        <v>110</v>
      </c>
      <c r="K226" s="6">
        <f>IFERROR(IF(VendasSem4[[#This Row],[Id da Venda]]=B227,0,VLOOKUP(VendasSem4[[#This Row],[Região de Entrega]],cálculos!$B$5:$C$9,2,0)),0)</f>
        <v>0</v>
      </c>
      <c r="L226" s="6">
        <f>(VendasSem4[[#This Row],[Subtotal]]*(1-VendasSem4[[#This Row],[Desconto]])+VendasSem4[[#This Row],[Valor de Entrega]])</f>
        <v>6.9</v>
      </c>
      <c r="M226" s="6" t="str">
        <f>IF(VendasSem4[[#This Row],[Id da Venda]]=B227,"",SUMIF(VendasSem4[Id da Venda],VendasSem4[[#This Row],[Id da Venda]],VendasSem4[Total]))</f>
        <v/>
      </c>
    </row>
    <row r="227" spans="2:13" x14ac:dyDescent="0.25">
      <c r="B227">
        <v>60</v>
      </c>
      <c r="C227" s="7">
        <v>45189</v>
      </c>
      <c r="D227" t="s">
        <v>40</v>
      </c>
      <c r="E227" t="str">
        <f>IFERROR(VLOOKUP(VendasSem4[[#This Row],[Produto]],cálculos!$I$3:$L$50,4,0),"")</f>
        <v>Garrafa</v>
      </c>
      <c r="F227">
        <v>5</v>
      </c>
      <c r="G227" s="6">
        <f>IFERROR(VLOOKUP(VendasSem4[[#This Row],[Produto]],cálculos!$I$3:$L$50,3,0),0)</f>
        <v>29.9</v>
      </c>
      <c r="H227" s="6">
        <f>IFERROR(VendasSem4[[#This Row],[Quantidade]]*VendasSem4[[#This Row],[Preço Unitário]],0)</f>
        <v>149.5</v>
      </c>
      <c r="I227" s="11"/>
      <c r="J227" t="s">
        <v>110</v>
      </c>
      <c r="K227" s="6">
        <f>IFERROR(IF(VendasSem4[[#This Row],[Id da Venda]]=B228,0,VLOOKUP(VendasSem4[[#This Row],[Região de Entrega]],cálculos!$B$5:$C$9,2,0)),0)</f>
        <v>0</v>
      </c>
      <c r="L227" s="6">
        <f>(VendasSem4[[#This Row],[Subtotal]]*(1-VendasSem4[[#This Row],[Desconto]])+VendasSem4[[#This Row],[Valor de Entrega]])</f>
        <v>149.5</v>
      </c>
      <c r="M227" s="6" t="str">
        <f>IF(VendasSem4[[#This Row],[Id da Venda]]=B228,"",SUMIF(VendasSem4[Id da Venda],VendasSem4[[#This Row],[Id da Venda]],VendasSem4[Total]))</f>
        <v/>
      </c>
    </row>
    <row r="228" spans="2:13" x14ac:dyDescent="0.25">
      <c r="B228">
        <v>60</v>
      </c>
      <c r="C228" s="7">
        <v>45189</v>
      </c>
      <c r="D228" t="s">
        <v>132</v>
      </c>
      <c r="E228" t="str">
        <f>IFERROR(VLOOKUP(VendasSem4[[#This Row],[Produto]],cálculos!$I$3:$L$50,4,0),"")</f>
        <v>Kg</v>
      </c>
      <c r="F228">
        <v>1</v>
      </c>
      <c r="G228" s="6">
        <f>IFERROR(VLOOKUP(VendasSem4[[#This Row],[Produto]],cálculos!$I$3:$L$50,3,0),0)</f>
        <v>2.9</v>
      </c>
      <c r="H228" s="6">
        <f>IFERROR(VendasSem4[[#This Row],[Quantidade]]*VendasSem4[[#This Row],[Preço Unitário]],0)</f>
        <v>2.9</v>
      </c>
      <c r="I228" s="11"/>
      <c r="J228" t="s">
        <v>110</v>
      </c>
      <c r="K228" s="6">
        <f>IFERROR(IF(VendasSem4[[#This Row],[Id da Venda]]=B229,0,VLOOKUP(VendasSem4[[#This Row],[Região de Entrega]],cálculos!$B$5:$C$9,2,0)),0)</f>
        <v>0</v>
      </c>
      <c r="L228" s="6">
        <f>(VendasSem4[[#This Row],[Subtotal]]*(1-VendasSem4[[#This Row],[Desconto]])+VendasSem4[[#This Row],[Valor de Entrega]])</f>
        <v>2.9</v>
      </c>
      <c r="M228" s="6" t="str">
        <f>IF(VendasSem4[[#This Row],[Id da Venda]]=B229,"",SUMIF(VendasSem4[Id da Venda],VendasSem4[[#This Row],[Id da Venda]],VendasSem4[Total]))</f>
        <v/>
      </c>
    </row>
    <row r="229" spans="2:13" x14ac:dyDescent="0.25">
      <c r="B229">
        <v>60</v>
      </c>
      <c r="C229" s="7">
        <v>45189</v>
      </c>
      <c r="D229" t="s">
        <v>134</v>
      </c>
      <c r="E229" t="str">
        <f>IFERROR(VLOOKUP(VendasSem4[[#This Row],[Produto]],cálculos!$I$3:$L$50,4,0),"")</f>
        <v>Kg</v>
      </c>
      <c r="F229">
        <v>0.8</v>
      </c>
      <c r="G229" s="6">
        <f>IFERROR(VLOOKUP(VendasSem4[[#This Row],[Produto]],cálculos!$I$3:$L$50,3,0),0)</f>
        <v>24</v>
      </c>
      <c r="H229" s="6">
        <f>IFERROR(VendasSem4[[#This Row],[Quantidade]]*VendasSem4[[#This Row],[Preço Unitário]],0)</f>
        <v>19.200000000000003</v>
      </c>
      <c r="I229" s="11"/>
      <c r="J229" t="s">
        <v>110</v>
      </c>
      <c r="K229" s="6">
        <f>IFERROR(IF(VendasSem4[[#This Row],[Id da Venda]]=B230,0,VLOOKUP(VendasSem4[[#This Row],[Região de Entrega]],cálculos!$B$5:$C$9,2,0)),0)</f>
        <v>0</v>
      </c>
      <c r="L229" s="6">
        <f>(VendasSem4[[#This Row],[Subtotal]]*(1-VendasSem4[[#This Row],[Desconto]])+VendasSem4[[#This Row],[Valor de Entrega]])</f>
        <v>19.200000000000003</v>
      </c>
      <c r="M229" s="6" t="str">
        <f>IF(VendasSem4[[#This Row],[Id da Venda]]=B230,"",SUMIF(VendasSem4[Id da Venda],VendasSem4[[#This Row],[Id da Venda]],VendasSem4[Total]))</f>
        <v/>
      </c>
    </row>
    <row r="230" spans="2:13" x14ac:dyDescent="0.25">
      <c r="B230">
        <v>60</v>
      </c>
      <c r="C230" s="7">
        <v>45189</v>
      </c>
      <c r="D230" t="s">
        <v>34</v>
      </c>
      <c r="E230" t="str">
        <f>IFERROR(VLOOKUP(VendasSem4[[#This Row],[Produto]],cálculos!$I$3:$L$50,4,0),"")</f>
        <v>Kg</v>
      </c>
      <c r="F230">
        <v>5</v>
      </c>
      <c r="G230" s="6">
        <f>IFERROR(VLOOKUP(VendasSem4[[#This Row],[Produto]],cálculos!$I$3:$L$50,3,0),0)</f>
        <v>5.82</v>
      </c>
      <c r="H230" s="6">
        <f>IFERROR(VendasSem4[[#This Row],[Quantidade]]*VendasSem4[[#This Row],[Preço Unitário]],0)</f>
        <v>29.1</v>
      </c>
      <c r="I230" s="11"/>
      <c r="J230" t="s">
        <v>110</v>
      </c>
      <c r="K230" s="6">
        <f>IFERROR(IF(VendasSem4[[#This Row],[Id da Venda]]=B231,0,VLOOKUP(VendasSem4[[#This Row],[Região de Entrega]],cálculos!$B$5:$C$9,2,0)),0)</f>
        <v>0</v>
      </c>
      <c r="L230" s="6">
        <f>(VendasSem4[[#This Row],[Subtotal]]*(1-VendasSem4[[#This Row],[Desconto]])+VendasSem4[[#This Row],[Valor de Entrega]])</f>
        <v>29.1</v>
      </c>
      <c r="M230" s="6" t="str">
        <f>IF(VendasSem4[[#This Row],[Id da Venda]]=B231,"",SUMIF(VendasSem4[Id da Venda],VendasSem4[[#This Row],[Id da Venda]],VendasSem4[Total]))</f>
        <v/>
      </c>
    </row>
    <row r="231" spans="2:13" x14ac:dyDescent="0.25">
      <c r="B231">
        <v>60</v>
      </c>
      <c r="C231" s="7">
        <v>45189</v>
      </c>
      <c r="D231" t="s">
        <v>43</v>
      </c>
      <c r="E231" t="str">
        <f>IFERROR(VLOOKUP(VendasSem4[[#This Row],[Produto]],cálculos!$I$3:$L$50,4,0),"")</f>
        <v>Kg</v>
      </c>
      <c r="F231">
        <v>0.6</v>
      </c>
      <c r="G231" s="6">
        <f>IFERROR(VLOOKUP(VendasSem4[[#This Row],[Produto]],cálculos!$I$3:$L$50,3,0),0)</f>
        <v>9.58</v>
      </c>
      <c r="H231" s="6">
        <f>IFERROR(VendasSem4[[#This Row],[Quantidade]]*VendasSem4[[#This Row],[Preço Unitário]],0)</f>
        <v>5.7480000000000002</v>
      </c>
      <c r="I231" s="11"/>
      <c r="J231" t="s">
        <v>110</v>
      </c>
      <c r="K231" s="6">
        <f>IFERROR(IF(VendasSem4[[#This Row],[Id da Venda]]=B232,0,VLOOKUP(VendasSem4[[#This Row],[Região de Entrega]],cálculos!$B$5:$C$9,2,0)),0)</f>
        <v>0</v>
      </c>
      <c r="L231" s="6">
        <f>(VendasSem4[[#This Row],[Subtotal]]*(1-VendasSem4[[#This Row],[Desconto]])+VendasSem4[[#This Row],[Valor de Entrega]])</f>
        <v>5.7480000000000002</v>
      </c>
      <c r="M231" s="6" t="str">
        <f>IF(VendasSem4[[#This Row],[Id da Venda]]=B232,"",SUMIF(VendasSem4[Id da Venda],VendasSem4[[#This Row],[Id da Venda]],VendasSem4[Total]))</f>
        <v/>
      </c>
    </row>
    <row r="232" spans="2:13" x14ac:dyDescent="0.25">
      <c r="B232">
        <v>60</v>
      </c>
      <c r="C232" s="7">
        <v>45189</v>
      </c>
      <c r="D232" t="s">
        <v>39</v>
      </c>
      <c r="E232" t="str">
        <f>IFERROR(VLOOKUP(VendasSem4[[#This Row],[Produto]],cálculos!$I$3:$L$50,4,0),"")</f>
        <v>Kg</v>
      </c>
      <c r="F232">
        <v>1</v>
      </c>
      <c r="G232" s="6">
        <f>IFERROR(VLOOKUP(VendasSem4[[#This Row],[Produto]],cálculos!$I$3:$L$50,3,0),0)</f>
        <v>25.9</v>
      </c>
      <c r="H232" s="6">
        <f>IFERROR(VendasSem4[[#This Row],[Quantidade]]*VendasSem4[[#This Row],[Preço Unitário]],0)</f>
        <v>25.9</v>
      </c>
      <c r="I232" s="11"/>
      <c r="J232" t="s">
        <v>110</v>
      </c>
      <c r="K232" s="6">
        <f>IFERROR(IF(VendasSem4[[#This Row],[Id da Venda]]=B233,0,VLOOKUP(VendasSem4[[#This Row],[Região de Entrega]],cálculos!$B$5:$C$9,2,0)),0)</f>
        <v>0</v>
      </c>
      <c r="L232" s="6">
        <f>(VendasSem4[[#This Row],[Subtotal]]*(1-VendasSem4[[#This Row],[Desconto]])+VendasSem4[[#This Row],[Valor de Entrega]])</f>
        <v>25.9</v>
      </c>
      <c r="M232" s="6" t="str">
        <f>IF(VendasSem4[[#This Row],[Id da Venda]]=B233,"",SUMIF(VendasSem4[Id da Venda],VendasSem4[[#This Row],[Id da Venda]],VendasSem4[Total]))</f>
        <v/>
      </c>
    </row>
    <row r="233" spans="2:13" x14ac:dyDescent="0.25">
      <c r="B233">
        <v>60</v>
      </c>
      <c r="C233" s="7">
        <v>45189</v>
      </c>
      <c r="D233" t="s">
        <v>135</v>
      </c>
      <c r="E233" t="str">
        <f>IFERROR(VLOOKUP(VendasSem4[[#This Row],[Produto]],cálculos!$I$3:$L$50,4,0),"")</f>
        <v>Kg</v>
      </c>
      <c r="F233">
        <v>0.9</v>
      </c>
      <c r="G233" s="6">
        <f>IFERROR(VLOOKUP(VendasSem4[[#This Row],[Produto]],cálculos!$I$3:$L$50,3,0),0)</f>
        <v>5</v>
      </c>
      <c r="H233" s="6">
        <f>IFERROR(VendasSem4[[#This Row],[Quantidade]]*VendasSem4[[#This Row],[Preço Unitário]],0)</f>
        <v>4.5</v>
      </c>
      <c r="I233" s="11"/>
      <c r="J233" t="s">
        <v>110</v>
      </c>
      <c r="K233" s="6">
        <f>IFERROR(IF(VendasSem4[[#This Row],[Id da Venda]]=B234,0,VLOOKUP(VendasSem4[[#This Row],[Região de Entrega]],cálculos!$B$5:$C$9,2,0)),0)</f>
        <v>12.8</v>
      </c>
      <c r="L233" s="6">
        <f>(VendasSem4[[#This Row],[Subtotal]]*(1-VendasSem4[[#This Row],[Desconto]])+VendasSem4[[#This Row],[Valor de Entrega]])</f>
        <v>17.3</v>
      </c>
      <c r="M233" s="6">
        <f>IF(VendasSem4[[#This Row],[Id da Venda]]=B234,"",SUMIF(VendasSem4[Id da Venda],VendasSem4[[#This Row],[Id da Venda]],VendasSem4[Total]))</f>
        <v>454.55799999999994</v>
      </c>
    </row>
    <row r="234" spans="2:13" x14ac:dyDescent="0.25">
      <c r="B234">
        <v>61</v>
      </c>
      <c r="C234" s="7">
        <v>45189</v>
      </c>
      <c r="D234" t="s">
        <v>118</v>
      </c>
      <c r="E234" t="str">
        <f>IFERROR(VLOOKUP(VendasSem4[[#This Row],[Produto]],cálculos!$I$3:$L$50,4,0),"")</f>
        <v>Kg</v>
      </c>
      <c r="F234">
        <v>3</v>
      </c>
      <c r="G234" s="6">
        <f>IFERROR(VLOOKUP(VendasSem4[[#This Row],[Produto]],cálculos!$I$3:$L$50,3,0),0)</f>
        <v>4</v>
      </c>
      <c r="H234" s="6">
        <f>IFERROR(VendasSem4[[#This Row],[Quantidade]]*VendasSem4[[#This Row],[Preço Unitário]],0)</f>
        <v>12</v>
      </c>
      <c r="I234" s="11"/>
      <c r="J234" t="s">
        <v>109</v>
      </c>
      <c r="K234" s="6">
        <f>IFERROR(IF(VendasSem4[[#This Row],[Id da Venda]]=B235,0,VLOOKUP(VendasSem4[[#This Row],[Região de Entrega]],cálculos!$B$5:$C$9,2,0)),0)</f>
        <v>0</v>
      </c>
      <c r="L234" s="6">
        <f>(VendasSem4[[#This Row],[Subtotal]]*(1-VendasSem4[[#This Row],[Desconto]])+VendasSem4[[#This Row],[Valor de Entrega]])</f>
        <v>12</v>
      </c>
      <c r="M234" s="6" t="str">
        <f>IF(VendasSem4[[#This Row],[Id da Venda]]=B235,"",SUMIF(VendasSem4[Id da Venda],VendasSem4[[#This Row],[Id da Venda]],VendasSem4[Total]))</f>
        <v/>
      </c>
    </row>
    <row r="235" spans="2:13" x14ac:dyDescent="0.25">
      <c r="B235">
        <v>61</v>
      </c>
      <c r="C235" s="7">
        <v>45189</v>
      </c>
      <c r="D235" t="s">
        <v>71</v>
      </c>
      <c r="E235" t="str">
        <f>IFERROR(VLOOKUP(VendasSem4[[#This Row],[Produto]],cálculos!$I$3:$L$50,4,0),"")</f>
        <v>Unidade</v>
      </c>
      <c r="F235">
        <v>1</v>
      </c>
      <c r="G235" s="6">
        <f>IFERROR(VLOOKUP(VendasSem4[[#This Row],[Produto]],cálculos!$I$3:$L$50,3,0),0)</f>
        <v>2.89</v>
      </c>
      <c r="H235" s="6">
        <f>IFERROR(VendasSem4[[#This Row],[Quantidade]]*VendasSem4[[#This Row],[Preço Unitário]],0)</f>
        <v>2.89</v>
      </c>
      <c r="I235" s="11"/>
      <c r="J235" t="s">
        <v>109</v>
      </c>
      <c r="K235" s="6">
        <f>IFERROR(IF(VendasSem4[[#This Row],[Id da Venda]]=B236,0,VLOOKUP(VendasSem4[[#This Row],[Região de Entrega]],cálculos!$B$5:$C$9,2,0)),0)</f>
        <v>0</v>
      </c>
      <c r="L235" s="6">
        <f>(VendasSem4[[#This Row],[Subtotal]]*(1-VendasSem4[[#This Row],[Desconto]])+VendasSem4[[#This Row],[Valor de Entrega]])</f>
        <v>2.89</v>
      </c>
      <c r="M235" s="6">
        <f>IF(VendasSem4[[#This Row],[Id da Venda]]=B236,"",SUMIF(VendasSem4[Id da Venda],VendasSem4[[#This Row],[Id da Venda]],VendasSem4[Total]))</f>
        <v>14.89</v>
      </c>
    </row>
    <row r="236" spans="2:13" x14ac:dyDescent="0.25">
      <c r="B236">
        <v>62</v>
      </c>
      <c r="C236" s="7">
        <v>45190</v>
      </c>
      <c r="D236" t="s">
        <v>130</v>
      </c>
      <c r="E236" t="str">
        <f>IFERROR(VLOOKUP(VendasSem4[[#This Row],[Produto]],cálculos!$I$3:$L$50,4,0),"")</f>
        <v>Kg</v>
      </c>
      <c r="F236">
        <v>1</v>
      </c>
      <c r="G236" s="6">
        <f>IFERROR(VLOOKUP(VendasSem4[[#This Row],[Produto]],cálculos!$I$3:$L$50,3,0),0)</f>
        <v>2.8</v>
      </c>
      <c r="H236" s="6">
        <f>IFERROR(VendasSem4[[#This Row],[Quantidade]]*VendasSem4[[#This Row],[Preço Unitário]],0)</f>
        <v>2.8</v>
      </c>
      <c r="I236" s="11"/>
      <c r="J236" t="s">
        <v>112</v>
      </c>
      <c r="K236" s="6">
        <f>IFERROR(IF(VendasSem4[[#This Row],[Id da Venda]]=B237,0,VLOOKUP(VendasSem4[[#This Row],[Região de Entrega]],cálculos!$B$5:$C$9,2,0)),0)</f>
        <v>0</v>
      </c>
      <c r="L236" s="6">
        <f>(VendasSem4[[#This Row],[Subtotal]]*(1-VendasSem4[[#This Row],[Desconto]])+VendasSem4[[#This Row],[Valor de Entrega]])</f>
        <v>2.8</v>
      </c>
      <c r="M236" s="6" t="str">
        <f>IF(VendasSem4[[#This Row],[Id da Venda]]=B237,"",SUMIF(VendasSem4[Id da Venda],VendasSem4[[#This Row],[Id da Venda]],VendasSem4[Total]))</f>
        <v/>
      </c>
    </row>
    <row r="237" spans="2:13" x14ac:dyDescent="0.25">
      <c r="B237">
        <v>62</v>
      </c>
      <c r="C237" s="7">
        <v>45190</v>
      </c>
      <c r="D237" t="s">
        <v>32</v>
      </c>
      <c r="E237" t="str">
        <f>IFERROR(VLOOKUP(VendasSem4[[#This Row],[Produto]],cálculos!$I$3:$L$50,4,0),"")</f>
        <v>Kg</v>
      </c>
      <c r="F237">
        <v>15</v>
      </c>
      <c r="G237" s="6">
        <f>IFERROR(VLOOKUP(VendasSem4[[#This Row],[Produto]],cálculos!$I$3:$L$50,3,0),0)</f>
        <v>2.4900000000000002</v>
      </c>
      <c r="H237" s="6">
        <f>IFERROR(VendasSem4[[#This Row],[Quantidade]]*VendasSem4[[#This Row],[Preço Unitário]],0)</f>
        <v>37.35</v>
      </c>
      <c r="I237" s="11"/>
      <c r="J237" t="s">
        <v>112</v>
      </c>
      <c r="K237" s="6">
        <f>IFERROR(IF(VendasSem4[[#This Row],[Id da Venda]]=B238,0,VLOOKUP(VendasSem4[[#This Row],[Região de Entrega]],cálculos!$B$5:$C$9,2,0)),0)</f>
        <v>0</v>
      </c>
      <c r="L237" s="6">
        <f>(VendasSem4[[#This Row],[Subtotal]]*(1-VendasSem4[[#This Row],[Desconto]])+VendasSem4[[#This Row],[Valor de Entrega]])</f>
        <v>37.35</v>
      </c>
      <c r="M237" s="6" t="str">
        <f>IF(VendasSem4[[#This Row],[Id da Venda]]=B238,"",SUMIF(VendasSem4[Id da Venda],VendasSem4[[#This Row],[Id da Venda]],VendasSem4[Total]))</f>
        <v/>
      </c>
    </row>
    <row r="238" spans="2:13" x14ac:dyDescent="0.25">
      <c r="B238">
        <v>62</v>
      </c>
      <c r="C238" s="7">
        <v>45190</v>
      </c>
      <c r="D238" t="s">
        <v>33</v>
      </c>
      <c r="E238" t="str">
        <f>IFERROR(VLOOKUP(VendasSem4[[#This Row],[Produto]],cálculos!$I$3:$L$50,4,0),"")</f>
        <v>Kg</v>
      </c>
      <c r="F238">
        <v>10</v>
      </c>
      <c r="G238" s="6">
        <f>IFERROR(VLOOKUP(VendasSem4[[#This Row],[Produto]],cálculos!$I$3:$L$50,3,0),0)</f>
        <v>4.28</v>
      </c>
      <c r="H238" s="6">
        <f>IFERROR(VendasSem4[[#This Row],[Quantidade]]*VendasSem4[[#This Row],[Preço Unitário]],0)</f>
        <v>42.800000000000004</v>
      </c>
      <c r="I238" s="11"/>
      <c r="J238" t="s">
        <v>112</v>
      </c>
      <c r="K238" s="6">
        <f>IFERROR(IF(VendasSem4[[#This Row],[Id da Venda]]=B239,0,VLOOKUP(VendasSem4[[#This Row],[Região de Entrega]],cálculos!$B$5:$C$9,2,0)),0)</f>
        <v>0</v>
      </c>
      <c r="L238" s="6">
        <f>(VendasSem4[[#This Row],[Subtotal]]*(1-VendasSem4[[#This Row],[Desconto]])+VendasSem4[[#This Row],[Valor de Entrega]])</f>
        <v>42.800000000000004</v>
      </c>
      <c r="M238" s="6" t="str">
        <f>IF(VendasSem4[[#This Row],[Id da Venda]]=B239,"",SUMIF(VendasSem4[Id da Venda],VendasSem4[[#This Row],[Id da Venda]],VendasSem4[Total]))</f>
        <v/>
      </c>
    </row>
    <row r="239" spans="2:13" x14ac:dyDescent="0.25">
      <c r="B239">
        <v>62</v>
      </c>
      <c r="C239" s="7">
        <v>45190</v>
      </c>
      <c r="D239" t="s">
        <v>38</v>
      </c>
      <c r="E239" t="str">
        <f>IFERROR(VLOOKUP(VendasSem4[[#This Row],[Produto]],cálculos!$I$3:$L$50,4,0),"")</f>
        <v>Kg</v>
      </c>
      <c r="F239">
        <v>5</v>
      </c>
      <c r="G239" s="6">
        <f>IFERROR(VLOOKUP(VendasSem4[[#This Row],[Produto]],cálculos!$I$3:$L$50,3,0),0)</f>
        <v>23.9</v>
      </c>
      <c r="H239" s="6">
        <f>IFERROR(VendasSem4[[#This Row],[Quantidade]]*VendasSem4[[#This Row],[Preço Unitário]],0)</f>
        <v>119.5</v>
      </c>
      <c r="I239" s="11"/>
      <c r="J239" t="s">
        <v>112</v>
      </c>
      <c r="K239" s="6">
        <f>IFERROR(IF(VendasSem4[[#This Row],[Id da Venda]]=B240,0,VLOOKUP(VendasSem4[[#This Row],[Região de Entrega]],cálculos!$B$5:$C$9,2,0)),0)</f>
        <v>0</v>
      </c>
      <c r="L239" s="6">
        <f>(VendasSem4[[#This Row],[Subtotal]]*(1-VendasSem4[[#This Row],[Desconto]])+VendasSem4[[#This Row],[Valor de Entrega]])</f>
        <v>119.5</v>
      </c>
      <c r="M239" s="6" t="str">
        <f>IF(VendasSem4[[#This Row],[Id da Venda]]=B240,"",SUMIF(VendasSem4[Id da Venda],VendasSem4[[#This Row],[Id da Venda]],VendasSem4[Total]))</f>
        <v/>
      </c>
    </row>
    <row r="240" spans="2:13" x14ac:dyDescent="0.25">
      <c r="B240">
        <v>62</v>
      </c>
      <c r="C240" s="7">
        <v>45190</v>
      </c>
      <c r="D240" t="s">
        <v>36</v>
      </c>
      <c r="E240" t="str">
        <f>IFERROR(VLOOKUP(VendasSem4[[#This Row],[Produto]],cálculos!$I$3:$L$50,4,0),"")</f>
        <v>Kg</v>
      </c>
      <c r="F240">
        <v>10</v>
      </c>
      <c r="G240" s="6">
        <f>IFERROR(VLOOKUP(VendasSem4[[#This Row],[Produto]],cálculos!$I$3:$L$50,3,0),0)</f>
        <v>15.9</v>
      </c>
      <c r="H240" s="6">
        <f>IFERROR(VendasSem4[[#This Row],[Quantidade]]*VendasSem4[[#This Row],[Preço Unitário]],0)</f>
        <v>159</v>
      </c>
      <c r="I240" s="11"/>
      <c r="J240" t="s">
        <v>112</v>
      </c>
      <c r="K240" s="6">
        <f>IFERROR(IF(VendasSem4[[#This Row],[Id da Venda]]=B241,0,VLOOKUP(VendasSem4[[#This Row],[Região de Entrega]],cálculos!$B$5:$C$9,2,0)),0)</f>
        <v>0</v>
      </c>
      <c r="L240" s="6">
        <f>(VendasSem4[[#This Row],[Subtotal]]*(1-VendasSem4[[#This Row],[Desconto]])+VendasSem4[[#This Row],[Valor de Entrega]])</f>
        <v>159</v>
      </c>
      <c r="M240" s="6" t="str">
        <f>IF(VendasSem4[[#This Row],[Id da Venda]]=B241,"",SUMIF(VendasSem4[Id da Venda],VendasSem4[[#This Row],[Id da Venda]],VendasSem4[Total]))</f>
        <v/>
      </c>
    </row>
    <row r="241" spans="2:13" x14ac:dyDescent="0.25">
      <c r="B241">
        <v>62</v>
      </c>
      <c r="C241" s="7">
        <v>45190</v>
      </c>
      <c r="D241" t="s">
        <v>44</v>
      </c>
      <c r="E241" t="str">
        <f>IFERROR(VLOOKUP(VendasSem4[[#This Row],[Produto]],cálculos!$I$3:$L$50,4,0),"")</f>
        <v>Pacote</v>
      </c>
      <c r="F241">
        <v>2</v>
      </c>
      <c r="G241" s="6">
        <f>IFERROR(VLOOKUP(VendasSem4[[#This Row],[Produto]],cálculos!$I$3:$L$50,3,0),0)</f>
        <v>1.1499999999999999</v>
      </c>
      <c r="H241" s="6">
        <f>IFERROR(VendasSem4[[#This Row],[Quantidade]]*VendasSem4[[#This Row],[Preço Unitário]],0)</f>
        <v>2.2999999999999998</v>
      </c>
      <c r="I241" s="11"/>
      <c r="J241" t="s">
        <v>112</v>
      </c>
      <c r="K241" s="6">
        <f>IFERROR(IF(VendasSem4[[#This Row],[Id da Venda]]=B242,0,VLOOKUP(VendasSem4[[#This Row],[Região de Entrega]],cálculos!$B$5:$C$9,2,0)),0)</f>
        <v>7</v>
      </c>
      <c r="L241" s="6">
        <f>(VendasSem4[[#This Row],[Subtotal]]*(1-VendasSem4[[#This Row],[Desconto]])+VendasSem4[[#This Row],[Valor de Entrega]])</f>
        <v>9.3000000000000007</v>
      </c>
      <c r="M241" s="6">
        <f>IF(VendasSem4[[#This Row],[Id da Venda]]=B242,"",SUMIF(VendasSem4[Id da Venda],VendasSem4[[#This Row],[Id da Venda]],VendasSem4[Total]))</f>
        <v>370.75</v>
      </c>
    </row>
    <row r="242" spans="2:13" x14ac:dyDescent="0.25">
      <c r="B242">
        <v>63</v>
      </c>
      <c r="C242" s="7">
        <v>45190</v>
      </c>
      <c r="D242" t="s">
        <v>32</v>
      </c>
      <c r="E242" t="str">
        <f>IFERROR(VLOOKUP(VendasSem4[[#This Row],[Produto]],cálculos!$I$3:$L$50,4,0),"")</f>
        <v>Kg</v>
      </c>
      <c r="F242">
        <v>10</v>
      </c>
      <c r="G242" s="6">
        <f>IFERROR(VLOOKUP(VendasSem4[[#This Row],[Produto]],cálculos!$I$3:$L$50,3,0),0)</f>
        <v>2.4900000000000002</v>
      </c>
      <c r="H242" s="6">
        <f>IFERROR(VendasSem4[[#This Row],[Quantidade]]*VendasSem4[[#This Row],[Preço Unitário]],0)</f>
        <v>24.900000000000002</v>
      </c>
      <c r="I242" s="11"/>
      <c r="J242" t="s">
        <v>109</v>
      </c>
      <c r="K242" s="6">
        <f>IFERROR(IF(VendasSem4[[#This Row],[Id da Venda]]=B243,0,VLOOKUP(VendasSem4[[#This Row],[Região de Entrega]],cálculos!$B$5:$C$9,2,0)),0)</f>
        <v>0</v>
      </c>
      <c r="L242" s="6">
        <f>(VendasSem4[[#This Row],[Subtotal]]*(1-VendasSem4[[#This Row],[Desconto]])+VendasSem4[[#This Row],[Valor de Entrega]])</f>
        <v>24.900000000000002</v>
      </c>
      <c r="M242" s="6" t="str">
        <f>IF(VendasSem4[[#This Row],[Id da Venda]]=B243,"",SUMIF(VendasSem4[Id da Venda],VendasSem4[[#This Row],[Id da Venda]],VendasSem4[Total]))</f>
        <v/>
      </c>
    </row>
    <row r="243" spans="2:13" x14ac:dyDescent="0.25">
      <c r="B243">
        <v>63</v>
      </c>
      <c r="C243" s="7">
        <v>45190</v>
      </c>
      <c r="D243" t="s">
        <v>119</v>
      </c>
      <c r="E243" t="str">
        <f>IFERROR(VLOOKUP(VendasSem4[[#This Row],[Produto]],cálculos!$I$3:$L$50,4,0),"")</f>
        <v>Kg</v>
      </c>
      <c r="F243">
        <v>5</v>
      </c>
      <c r="G243" s="6">
        <f>IFERROR(VLOOKUP(VendasSem4[[#This Row],[Produto]],cálculos!$I$3:$L$50,3,0),0)</f>
        <v>6.8</v>
      </c>
      <c r="H243" s="6">
        <f>IFERROR(VendasSem4[[#This Row],[Quantidade]]*VendasSem4[[#This Row],[Preço Unitário]],0)</f>
        <v>34</v>
      </c>
      <c r="I243" s="11"/>
      <c r="J243" t="s">
        <v>109</v>
      </c>
      <c r="K243" s="6">
        <f>IFERROR(IF(VendasSem4[[#This Row],[Id da Venda]]=B244,0,VLOOKUP(VendasSem4[[#This Row],[Região de Entrega]],cálculos!$B$5:$C$9,2,0)),0)</f>
        <v>0</v>
      </c>
      <c r="L243" s="6">
        <f>(VendasSem4[[#This Row],[Subtotal]]*(1-VendasSem4[[#This Row],[Desconto]])+VendasSem4[[#This Row],[Valor de Entrega]])</f>
        <v>34</v>
      </c>
      <c r="M243" s="6" t="str">
        <f>IF(VendasSem4[[#This Row],[Id da Venda]]=B244,"",SUMIF(VendasSem4[Id da Venda],VendasSem4[[#This Row],[Id da Venda]],VendasSem4[Total]))</f>
        <v/>
      </c>
    </row>
    <row r="244" spans="2:13" x14ac:dyDescent="0.25">
      <c r="B244">
        <v>63</v>
      </c>
      <c r="C244" s="7">
        <v>45190</v>
      </c>
      <c r="D244" t="s">
        <v>118</v>
      </c>
      <c r="E244" t="str">
        <f>IFERROR(VLOOKUP(VendasSem4[[#This Row],[Produto]],cálculos!$I$3:$L$50,4,0),"")</f>
        <v>Kg</v>
      </c>
      <c r="F244">
        <v>2</v>
      </c>
      <c r="G244" s="6">
        <f>IFERROR(VLOOKUP(VendasSem4[[#This Row],[Produto]],cálculos!$I$3:$L$50,3,0),0)</f>
        <v>4</v>
      </c>
      <c r="H244" s="6">
        <f>IFERROR(VendasSem4[[#This Row],[Quantidade]]*VendasSem4[[#This Row],[Preço Unitário]],0)</f>
        <v>8</v>
      </c>
      <c r="I244" s="11"/>
      <c r="J244" t="s">
        <v>109</v>
      </c>
      <c r="K244" s="6">
        <f>IFERROR(IF(VendasSem4[[#This Row],[Id da Venda]]=B245,0,VLOOKUP(VendasSem4[[#This Row],[Região de Entrega]],cálculos!$B$5:$C$9,2,0)),0)</f>
        <v>0</v>
      </c>
      <c r="L244" s="6">
        <f>(VendasSem4[[#This Row],[Subtotal]]*(1-VendasSem4[[#This Row],[Desconto]])+VendasSem4[[#This Row],[Valor de Entrega]])</f>
        <v>8</v>
      </c>
      <c r="M244" s="6" t="str">
        <f>IF(VendasSem4[[#This Row],[Id da Venda]]=B245,"",SUMIF(VendasSem4[Id da Venda],VendasSem4[[#This Row],[Id da Venda]],VendasSem4[Total]))</f>
        <v/>
      </c>
    </row>
    <row r="245" spans="2:13" x14ac:dyDescent="0.25">
      <c r="B245">
        <v>63</v>
      </c>
      <c r="C245" s="7">
        <v>45190</v>
      </c>
      <c r="D245" t="s">
        <v>33</v>
      </c>
      <c r="E245" t="str">
        <f>IFERROR(VLOOKUP(VendasSem4[[#This Row],[Produto]],cálculos!$I$3:$L$50,4,0),"")</f>
        <v>Kg</v>
      </c>
      <c r="F245">
        <v>3</v>
      </c>
      <c r="G245" s="6">
        <f>IFERROR(VLOOKUP(VendasSem4[[#This Row],[Produto]],cálculos!$I$3:$L$50,3,0),0)</f>
        <v>4.28</v>
      </c>
      <c r="H245" s="6">
        <f>IFERROR(VendasSem4[[#This Row],[Quantidade]]*VendasSem4[[#This Row],[Preço Unitário]],0)</f>
        <v>12.84</v>
      </c>
      <c r="I245" s="11"/>
      <c r="J245" t="s">
        <v>109</v>
      </c>
      <c r="K245" s="6">
        <f>IFERROR(IF(VendasSem4[[#This Row],[Id da Venda]]=B246,0,VLOOKUP(VendasSem4[[#This Row],[Região de Entrega]],cálculos!$B$5:$C$9,2,0)),0)</f>
        <v>0</v>
      </c>
      <c r="L245" s="6">
        <f>(VendasSem4[[#This Row],[Subtotal]]*(1-VendasSem4[[#This Row],[Desconto]])+VendasSem4[[#This Row],[Valor de Entrega]])</f>
        <v>12.84</v>
      </c>
      <c r="M245" s="6" t="str">
        <f>IF(VendasSem4[[#This Row],[Id da Venda]]=B246,"",SUMIF(VendasSem4[Id da Venda],VendasSem4[[#This Row],[Id da Venda]],VendasSem4[Total]))</f>
        <v/>
      </c>
    </row>
    <row r="246" spans="2:13" x14ac:dyDescent="0.25">
      <c r="B246">
        <v>63</v>
      </c>
      <c r="C246" s="7">
        <v>45190</v>
      </c>
      <c r="D246" t="s">
        <v>36</v>
      </c>
      <c r="E246" t="str">
        <f>IFERROR(VLOOKUP(VendasSem4[[#This Row],[Produto]],cálculos!$I$3:$L$50,4,0),"")</f>
        <v>Kg</v>
      </c>
      <c r="F246">
        <v>4</v>
      </c>
      <c r="G246" s="6">
        <f>IFERROR(VLOOKUP(VendasSem4[[#This Row],[Produto]],cálculos!$I$3:$L$50,3,0),0)</f>
        <v>15.9</v>
      </c>
      <c r="H246" s="6">
        <f>IFERROR(VendasSem4[[#This Row],[Quantidade]]*VendasSem4[[#This Row],[Preço Unitário]],0)</f>
        <v>63.6</v>
      </c>
      <c r="I246" s="11"/>
      <c r="J246" t="s">
        <v>109</v>
      </c>
      <c r="K246" s="6">
        <f>IFERROR(IF(VendasSem4[[#This Row],[Id da Venda]]=B247,0,VLOOKUP(VendasSem4[[#This Row],[Região de Entrega]],cálculos!$B$5:$C$9,2,0)),0)</f>
        <v>0</v>
      </c>
      <c r="L246" s="6">
        <f>(VendasSem4[[#This Row],[Subtotal]]*(1-VendasSem4[[#This Row],[Desconto]])+VendasSem4[[#This Row],[Valor de Entrega]])</f>
        <v>63.6</v>
      </c>
      <c r="M246" s="6" t="str">
        <f>IF(VendasSem4[[#This Row],[Id da Venda]]=B247,"",SUMIF(VendasSem4[Id da Venda],VendasSem4[[#This Row],[Id da Venda]],VendasSem4[Total]))</f>
        <v/>
      </c>
    </row>
    <row r="247" spans="2:13" x14ac:dyDescent="0.25">
      <c r="B247">
        <v>63</v>
      </c>
      <c r="C247" s="7">
        <v>45190</v>
      </c>
      <c r="D247" t="s">
        <v>38</v>
      </c>
      <c r="E247" t="str">
        <f>IFERROR(VLOOKUP(VendasSem4[[#This Row],[Produto]],cálculos!$I$3:$L$50,4,0),"")</f>
        <v>Kg</v>
      </c>
      <c r="F247">
        <v>2</v>
      </c>
      <c r="G247" s="6">
        <f>IFERROR(VLOOKUP(VendasSem4[[#This Row],[Produto]],cálculos!$I$3:$L$50,3,0),0)</f>
        <v>23.9</v>
      </c>
      <c r="H247" s="6">
        <f>IFERROR(VendasSem4[[#This Row],[Quantidade]]*VendasSem4[[#This Row],[Preço Unitário]],0)</f>
        <v>47.8</v>
      </c>
      <c r="I247" s="11"/>
      <c r="J247" t="s">
        <v>109</v>
      </c>
      <c r="K247" s="6">
        <f>IFERROR(IF(VendasSem4[[#This Row],[Id da Venda]]=B248,0,VLOOKUP(VendasSem4[[#This Row],[Região de Entrega]],cálculos!$B$5:$C$9,2,0)),0)</f>
        <v>0</v>
      </c>
      <c r="L247" s="6">
        <f>(VendasSem4[[#This Row],[Subtotal]]*(1-VendasSem4[[#This Row],[Desconto]])+VendasSem4[[#This Row],[Valor de Entrega]])</f>
        <v>47.8</v>
      </c>
      <c r="M247" s="6" t="str">
        <f>IF(VendasSem4[[#This Row],[Id da Venda]]=B248,"",SUMIF(VendasSem4[Id da Venda],VendasSem4[[#This Row],[Id da Venda]],VendasSem4[Total]))</f>
        <v/>
      </c>
    </row>
    <row r="248" spans="2:13" x14ac:dyDescent="0.25">
      <c r="B248">
        <v>63</v>
      </c>
      <c r="C248" s="7">
        <v>45190</v>
      </c>
      <c r="D248" t="s">
        <v>131</v>
      </c>
      <c r="E248" t="str">
        <f>IFERROR(VLOOKUP(VendasSem4[[#This Row],[Produto]],cálculos!$I$3:$L$50,4,0),"")</f>
        <v>Kg</v>
      </c>
      <c r="F248">
        <v>1</v>
      </c>
      <c r="G248" s="6">
        <f>IFERROR(VLOOKUP(VendasSem4[[#This Row],[Produto]],cálculos!$I$3:$L$50,3,0),0)</f>
        <v>3</v>
      </c>
      <c r="H248" s="6">
        <f>IFERROR(VendasSem4[[#This Row],[Quantidade]]*VendasSem4[[#This Row],[Preço Unitário]],0)</f>
        <v>3</v>
      </c>
      <c r="I248" s="11"/>
      <c r="J248" t="s">
        <v>109</v>
      </c>
      <c r="K248" s="6">
        <f>IFERROR(IF(VendasSem4[[#This Row],[Id da Venda]]=B249,0,VLOOKUP(VendasSem4[[#This Row],[Região de Entrega]],cálculos!$B$5:$C$9,2,0)),0)</f>
        <v>0</v>
      </c>
      <c r="L248" s="6">
        <f>(VendasSem4[[#This Row],[Subtotal]]*(1-VendasSem4[[#This Row],[Desconto]])+VendasSem4[[#This Row],[Valor de Entrega]])</f>
        <v>3</v>
      </c>
      <c r="M248" s="6">
        <f>IF(VendasSem4[[#This Row],[Id da Venda]]=B249,"",SUMIF(VendasSem4[Id da Venda],VendasSem4[[#This Row],[Id da Venda]],VendasSem4[Total]))</f>
        <v>194.14</v>
      </c>
    </row>
    <row r="249" spans="2:13" x14ac:dyDescent="0.25">
      <c r="B249">
        <v>64</v>
      </c>
      <c r="C249" s="7">
        <v>45190</v>
      </c>
      <c r="D249" t="s">
        <v>132</v>
      </c>
      <c r="E249" t="str">
        <f>IFERROR(VLOOKUP(VendasSem4[[#This Row],[Produto]],cálculos!$I$3:$L$50,4,0),"")</f>
        <v>Kg</v>
      </c>
      <c r="F249">
        <v>0.5</v>
      </c>
      <c r="G249" s="6">
        <f>IFERROR(VLOOKUP(VendasSem4[[#This Row],[Produto]],cálculos!$I$3:$L$50,3,0),0)</f>
        <v>2.9</v>
      </c>
      <c r="H249" s="6">
        <f>IFERROR(VendasSem4[[#This Row],[Quantidade]]*VendasSem4[[#This Row],[Preço Unitário]],0)</f>
        <v>1.45</v>
      </c>
      <c r="I249" s="11"/>
      <c r="J249" t="s">
        <v>112</v>
      </c>
      <c r="K249" s="6">
        <f>IFERROR(IF(VendasSem4[[#This Row],[Id da Venda]]=B250,0,VLOOKUP(VendasSem4[[#This Row],[Região de Entrega]],cálculos!$B$5:$C$9,2,0)),0)</f>
        <v>7</v>
      </c>
      <c r="L249" s="6">
        <f>(VendasSem4[[#This Row],[Subtotal]]*(1-VendasSem4[[#This Row],[Desconto]])+VendasSem4[[#This Row],[Valor de Entrega]])</f>
        <v>8.4499999999999993</v>
      </c>
      <c r="M249" s="6">
        <f>IF(VendasSem4[[#This Row],[Id da Venda]]=B250,"",SUMIF(VendasSem4[Id da Venda],VendasSem4[[#This Row],[Id da Venda]],VendasSem4[Total]))</f>
        <v>8.4499999999999993</v>
      </c>
    </row>
    <row r="250" spans="2:13" x14ac:dyDescent="0.25">
      <c r="B250">
        <v>65</v>
      </c>
      <c r="C250" s="7">
        <v>45190</v>
      </c>
      <c r="D250" t="s">
        <v>35</v>
      </c>
      <c r="E250" t="str">
        <f>IFERROR(VLOOKUP(VendasSem4[[#This Row],[Produto]],cálculos!$I$3:$L$50,4,0),"")</f>
        <v>Unidade</v>
      </c>
      <c r="F250">
        <v>1</v>
      </c>
      <c r="G250" s="6">
        <f>IFERROR(VLOOKUP(VendasSem4[[#This Row],[Produto]],cálculos!$I$3:$L$50,3,0),0)</f>
        <v>2.99</v>
      </c>
      <c r="H250" s="6">
        <f>IFERROR(VendasSem4[[#This Row],[Quantidade]]*VendasSem4[[#This Row],[Preço Unitário]],0)</f>
        <v>2.99</v>
      </c>
      <c r="I250" s="11"/>
      <c r="J250" t="s">
        <v>112</v>
      </c>
      <c r="K250" s="6">
        <f>IFERROR(IF(VendasSem4[[#This Row],[Id da Venda]]=B251,0,VLOOKUP(VendasSem4[[#This Row],[Região de Entrega]],cálculos!$B$5:$C$9,2,0)),0)</f>
        <v>0</v>
      </c>
      <c r="L250" s="6">
        <f>(VendasSem4[[#This Row],[Subtotal]]*(1-VendasSem4[[#This Row],[Desconto]])+VendasSem4[[#This Row],[Valor de Entrega]])</f>
        <v>2.99</v>
      </c>
      <c r="M250" s="6" t="str">
        <f>IF(VendasSem4[[#This Row],[Id da Venda]]=B251,"",SUMIF(VendasSem4[Id da Venda],VendasSem4[[#This Row],[Id da Venda]],VendasSem4[Total]))</f>
        <v/>
      </c>
    </row>
    <row r="251" spans="2:13" x14ac:dyDescent="0.25">
      <c r="B251">
        <v>65</v>
      </c>
      <c r="C251" s="7">
        <v>45190</v>
      </c>
      <c r="D251" t="s">
        <v>43</v>
      </c>
      <c r="E251" t="str">
        <f>IFERROR(VLOOKUP(VendasSem4[[#This Row],[Produto]],cálculos!$I$3:$L$50,4,0),"")</f>
        <v>Kg</v>
      </c>
      <c r="F251">
        <v>1</v>
      </c>
      <c r="G251" s="6">
        <f>IFERROR(VLOOKUP(VendasSem4[[#This Row],[Produto]],cálculos!$I$3:$L$50,3,0),0)</f>
        <v>9.58</v>
      </c>
      <c r="H251" s="6">
        <f>IFERROR(VendasSem4[[#This Row],[Quantidade]]*VendasSem4[[#This Row],[Preço Unitário]],0)</f>
        <v>9.58</v>
      </c>
      <c r="I251" s="11"/>
      <c r="J251" t="s">
        <v>112</v>
      </c>
      <c r="K251" s="6">
        <f>IFERROR(IF(VendasSem4[[#This Row],[Id da Venda]]=B252,0,VLOOKUP(VendasSem4[[#This Row],[Região de Entrega]],cálculos!$B$5:$C$9,2,0)),0)</f>
        <v>0</v>
      </c>
      <c r="L251" s="6">
        <f>(VendasSem4[[#This Row],[Subtotal]]*(1-VendasSem4[[#This Row],[Desconto]])+VendasSem4[[#This Row],[Valor de Entrega]])</f>
        <v>9.58</v>
      </c>
      <c r="M251" s="6" t="str">
        <f>IF(VendasSem4[[#This Row],[Id da Venda]]=B252,"",SUMIF(VendasSem4[Id da Venda],VendasSem4[[#This Row],[Id da Venda]],VendasSem4[Total]))</f>
        <v/>
      </c>
    </row>
    <row r="252" spans="2:13" x14ac:dyDescent="0.25">
      <c r="B252">
        <v>65</v>
      </c>
      <c r="C252" s="7">
        <v>45190</v>
      </c>
      <c r="D252" t="s">
        <v>124</v>
      </c>
      <c r="E252" t="str">
        <f>IFERROR(VLOOKUP(VendasSem4[[#This Row],[Produto]],cálculos!$I$3:$L$50,4,0),"")</f>
        <v>Kg</v>
      </c>
      <c r="F252">
        <v>2</v>
      </c>
      <c r="G252" s="6">
        <f>IFERROR(VLOOKUP(VendasSem4[[#This Row],[Produto]],cálculos!$I$3:$L$50,3,0),0)</f>
        <v>7.8</v>
      </c>
      <c r="H252" s="6">
        <f>IFERROR(VendasSem4[[#This Row],[Quantidade]]*VendasSem4[[#This Row],[Preço Unitário]],0)</f>
        <v>15.6</v>
      </c>
      <c r="I252" s="11"/>
      <c r="J252" t="s">
        <v>112</v>
      </c>
      <c r="K252" s="6">
        <f>IFERROR(IF(VendasSem4[[#This Row],[Id da Venda]]=B253,0,VLOOKUP(VendasSem4[[#This Row],[Região de Entrega]],cálculos!$B$5:$C$9,2,0)),0)</f>
        <v>0</v>
      </c>
      <c r="L252" s="6">
        <f>(VendasSem4[[#This Row],[Subtotal]]*(1-VendasSem4[[#This Row],[Desconto]])+VendasSem4[[#This Row],[Valor de Entrega]])</f>
        <v>15.6</v>
      </c>
      <c r="M252" s="6" t="str">
        <f>IF(VendasSem4[[#This Row],[Id da Venda]]=B253,"",SUMIF(VendasSem4[Id da Venda],VendasSem4[[#This Row],[Id da Venda]],VendasSem4[Total]))</f>
        <v/>
      </c>
    </row>
    <row r="253" spans="2:13" x14ac:dyDescent="0.25">
      <c r="B253">
        <v>65</v>
      </c>
      <c r="C253" s="7">
        <v>45190</v>
      </c>
      <c r="D253" t="s">
        <v>129</v>
      </c>
      <c r="E253" t="str">
        <f>IFERROR(VLOOKUP(VendasSem4[[#This Row],[Produto]],cálculos!$I$3:$L$50,4,0),"")</f>
        <v>Unidade</v>
      </c>
      <c r="F253">
        <v>1</v>
      </c>
      <c r="G253" s="6">
        <f>IFERROR(VLOOKUP(VendasSem4[[#This Row],[Produto]],cálculos!$I$3:$L$50,3,0),0)</f>
        <v>18.899999999999999</v>
      </c>
      <c r="H253" s="6">
        <f>IFERROR(VendasSem4[[#This Row],[Quantidade]]*VendasSem4[[#This Row],[Preço Unitário]],0)</f>
        <v>18.899999999999999</v>
      </c>
      <c r="I253" s="11"/>
      <c r="J253" t="s">
        <v>112</v>
      </c>
      <c r="K253" s="6">
        <f>IFERROR(IF(VendasSem4[[#This Row],[Id da Venda]]=B254,0,VLOOKUP(VendasSem4[[#This Row],[Região de Entrega]],cálculos!$B$5:$C$9,2,0)),0)</f>
        <v>0</v>
      </c>
      <c r="L253" s="6">
        <f>(VendasSem4[[#This Row],[Subtotal]]*(1-VendasSem4[[#This Row],[Desconto]])+VendasSem4[[#This Row],[Valor de Entrega]])</f>
        <v>18.899999999999999</v>
      </c>
      <c r="M253" s="6" t="str">
        <f>IF(VendasSem4[[#This Row],[Id da Venda]]=B254,"",SUMIF(VendasSem4[Id da Venda],VendasSem4[[#This Row],[Id da Venda]],VendasSem4[Total]))</f>
        <v/>
      </c>
    </row>
    <row r="254" spans="2:13" x14ac:dyDescent="0.25">
      <c r="B254">
        <v>65</v>
      </c>
      <c r="C254" s="7">
        <v>45190</v>
      </c>
      <c r="D254" t="s">
        <v>120</v>
      </c>
      <c r="E254" t="str">
        <f>IFERROR(VLOOKUP(VendasSem4[[#This Row],[Produto]],cálculos!$I$3:$L$50,4,0),"")</f>
        <v>Kg</v>
      </c>
      <c r="F254">
        <v>3</v>
      </c>
      <c r="G254" s="6">
        <f>IFERROR(VLOOKUP(VendasSem4[[#This Row],[Produto]],cálculos!$I$3:$L$50,3,0),0)</f>
        <v>4.5</v>
      </c>
      <c r="H254" s="6">
        <f>IFERROR(VendasSem4[[#This Row],[Quantidade]]*VendasSem4[[#This Row],[Preço Unitário]],0)</f>
        <v>13.5</v>
      </c>
      <c r="I254" s="11"/>
      <c r="J254" t="s">
        <v>112</v>
      </c>
      <c r="K254" s="6">
        <f>IFERROR(IF(VendasSem4[[#This Row],[Id da Venda]]=B255,0,VLOOKUP(VendasSem4[[#This Row],[Região de Entrega]],cálculos!$B$5:$C$9,2,0)),0)</f>
        <v>0</v>
      </c>
      <c r="L254" s="6">
        <f>(VendasSem4[[#This Row],[Subtotal]]*(1-VendasSem4[[#This Row],[Desconto]])+VendasSem4[[#This Row],[Valor de Entrega]])</f>
        <v>13.5</v>
      </c>
      <c r="M254" s="6" t="str">
        <f>IF(VendasSem4[[#This Row],[Id da Venda]]=B255,"",SUMIF(VendasSem4[Id da Venda],VendasSem4[[#This Row],[Id da Venda]],VendasSem4[Total]))</f>
        <v/>
      </c>
    </row>
    <row r="255" spans="2:13" x14ac:dyDescent="0.25">
      <c r="B255">
        <v>65</v>
      </c>
      <c r="C255" s="7">
        <v>45190</v>
      </c>
      <c r="D255" t="s">
        <v>66</v>
      </c>
      <c r="E255" t="str">
        <f>IFERROR(VLOOKUP(VendasSem4[[#This Row],[Produto]],cálculos!$I$3:$L$50,4,0),"")</f>
        <v>Litro</v>
      </c>
      <c r="F255">
        <v>4</v>
      </c>
      <c r="G255" s="6">
        <f>IFERROR(VLOOKUP(VendasSem4[[#This Row],[Produto]],cálculos!$I$3:$L$50,3,0),0)</f>
        <v>1.49</v>
      </c>
      <c r="H255" s="6">
        <f>IFERROR(VendasSem4[[#This Row],[Quantidade]]*VendasSem4[[#This Row],[Preço Unitário]],0)</f>
        <v>5.96</v>
      </c>
      <c r="I255" s="11"/>
      <c r="J255" t="s">
        <v>112</v>
      </c>
      <c r="K255" s="6">
        <f>IFERROR(IF(VendasSem4[[#This Row],[Id da Venda]]=B256,0,VLOOKUP(VendasSem4[[#This Row],[Região de Entrega]],cálculos!$B$5:$C$9,2,0)),0)</f>
        <v>0</v>
      </c>
      <c r="L255" s="6">
        <f>(VendasSem4[[#This Row],[Subtotal]]*(1-VendasSem4[[#This Row],[Desconto]])+VendasSem4[[#This Row],[Valor de Entrega]])</f>
        <v>5.96</v>
      </c>
      <c r="M255" s="6" t="str">
        <f>IF(VendasSem4[[#This Row],[Id da Venda]]=B256,"",SUMIF(VendasSem4[Id da Venda],VendasSem4[[#This Row],[Id da Venda]],VendasSem4[Total]))</f>
        <v/>
      </c>
    </row>
    <row r="256" spans="2:13" x14ac:dyDescent="0.25">
      <c r="B256">
        <v>65</v>
      </c>
      <c r="C256" s="7">
        <v>45190</v>
      </c>
      <c r="D256" t="s">
        <v>40</v>
      </c>
      <c r="E256" t="str">
        <f>IFERROR(VLOOKUP(VendasSem4[[#This Row],[Produto]],cálculos!$I$3:$L$50,4,0),"")</f>
        <v>Garrafa</v>
      </c>
      <c r="F256">
        <v>5</v>
      </c>
      <c r="G256" s="6">
        <f>IFERROR(VLOOKUP(VendasSem4[[#This Row],[Produto]],cálculos!$I$3:$L$50,3,0),0)</f>
        <v>29.9</v>
      </c>
      <c r="H256" s="6">
        <f>IFERROR(VendasSem4[[#This Row],[Quantidade]]*VendasSem4[[#This Row],[Preço Unitário]],0)</f>
        <v>149.5</v>
      </c>
      <c r="I256" s="11"/>
      <c r="J256" t="s">
        <v>112</v>
      </c>
      <c r="K256" s="6">
        <f>IFERROR(IF(VendasSem4[[#This Row],[Id da Venda]]=B257,0,VLOOKUP(VendasSem4[[#This Row],[Região de Entrega]],cálculos!$B$5:$C$9,2,0)),0)</f>
        <v>0</v>
      </c>
      <c r="L256" s="6">
        <f>(VendasSem4[[#This Row],[Subtotal]]*(1-VendasSem4[[#This Row],[Desconto]])+VendasSem4[[#This Row],[Valor de Entrega]])</f>
        <v>149.5</v>
      </c>
      <c r="M256" s="6" t="str">
        <f>IF(VendasSem4[[#This Row],[Id da Venda]]=B257,"",SUMIF(VendasSem4[Id da Venda],VendasSem4[[#This Row],[Id da Venda]],VendasSem4[Total]))</f>
        <v/>
      </c>
    </row>
    <row r="257" spans="2:13" x14ac:dyDescent="0.25">
      <c r="B257">
        <v>65</v>
      </c>
      <c r="C257" s="7">
        <v>45190</v>
      </c>
      <c r="D257" t="s">
        <v>37</v>
      </c>
      <c r="E257" t="str">
        <f>IFERROR(VLOOKUP(VendasSem4[[#This Row],[Produto]],cálculos!$I$3:$L$50,4,0),"")</f>
        <v>Kg</v>
      </c>
      <c r="F257">
        <v>3</v>
      </c>
      <c r="G257" s="6">
        <f>IFERROR(VLOOKUP(VendasSem4[[#This Row],[Produto]],cálculos!$I$3:$L$50,3,0),0)</f>
        <v>6.98</v>
      </c>
      <c r="H257" s="6">
        <f>IFERROR(VendasSem4[[#This Row],[Quantidade]]*VendasSem4[[#This Row],[Preço Unitário]],0)</f>
        <v>20.94</v>
      </c>
      <c r="I257" s="11"/>
      <c r="J257" t="s">
        <v>112</v>
      </c>
      <c r="K257" s="6">
        <f>IFERROR(IF(VendasSem4[[#This Row],[Id da Venda]]=B258,0,VLOOKUP(VendasSem4[[#This Row],[Região de Entrega]],cálculos!$B$5:$C$9,2,0)),0)</f>
        <v>0</v>
      </c>
      <c r="L257" s="6">
        <f>(VendasSem4[[#This Row],[Subtotal]]*(1-VendasSem4[[#This Row],[Desconto]])+VendasSem4[[#This Row],[Valor de Entrega]])</f>
        <v>20.94</v>
      </c>
      <c r="M257" s="6" t="str">
        <f>IF(VendasSem4[[#This Row],[Id da Venda]]=B258,"",SUMIF(VendasSem4[Id da Venda],VendasSem4[[#This Row],[Id da Venda]],VendasSem4[Total]))</f>
        <v/>
      </c>
    </row>
    <row r="258" spans="2:13" x14ac:dyDescent="0.25">
      <c r="B258">
        <v>65</v>
      </c>
      <c r="C258" s="7">
        <v>45190</v>
      </c>
      <c r="D258" t="s">
        <v>130</v>
      </c>
      <c r="E258" t="str">
        <f>IFERROR(VLOOKUP(VendasSem4[[#This Row],[Produto]],cálculos!$I$3:$L$50,4,0),"")</f>
        <v>Kg</v>
      </c>
      <c r="F258">
        <v>2</v>
      </c>
      <c r="G258" s="6">
        <f>IFERROR(VLOOKUP(VendasSem4[[#This Row],[Produto]],cálculos!$I$3:$L$50,3,0),0)</f>
        <v>2.8</v>
      </c>
      <c r="H258" s="6">
        <f>IFERROR(VendasSem4[[#This Row],[Quantidade]]*VendasSem4[[#This Row],[Preço Unitário]],0)</f>
        <v>5.6</v>
      </c>
      <c r="I258" s="11"/>
      <c r="J258" t="s">
        <v>112</v>
      </c>
      <c r="K258" s="6">
        <f>IFERROR(IF(VendasSem4[[#This Row],[Id da Venda]]=B259,0,VLOOKUP(VendasSem4[[#This Row],[Região de Entrega]],cálculos!$B$5:$C$9,2,0)),0)</f>
        <v>0</v>
      </c>
      <c r="L258" s="6">
        <f>(VendasSem4[[#This Row],[Subtotal]]*(1-VendasSem4[[#This Row],[Desconto]])+VendasSem4[[#This Row],[Valor de Entrega]])</f>
        <v>5.6</v>
      </c>
      <c r="M258" s="6" t="str">
        <f>IF(VendasSem4[[#This Row],[Id da Venda]]=B259,"",SUMIF(VendasSem4[Id da Venda],VendasSem4[[#This Row],[Id da Venda]],VendasSem4[Total]))</f>
        <v/>
      </c>
    </row>
    <row r="259" spans="2:13" x14ac:dyDescent="0.25">
      <c r="B259">
        <v>65</v>
      </c>
      <c r="C259" s="7">
        <v>45190</v>
      </c>
      <c r="D259" t="s">
        <v>126</v>
      </c>
      <c r="E259" t="str">
        <f>IFERROR(VLOOKUP(VendasSem4[[#This Row],[Produto]],cálculos!$I$3:$L$50,4,0),"")</f>
        <v>Unidade</v>
      </c>
      <c r="F259">
        <v>1</v>
      </c>
      <c r="G259" s="6">
        <f>IFERROR(VLOOKUP(VendasSem4[[#This Row],[Produto]],cálculos!$I$3:$L$50,3,0),0)</f>
        <v>7</v>
      </c>
      <c r="H259" s="6">
        <f>IFERROR(VendasSem4[[#This Row],[Quantidade]]*VendasSem4[[#This Row],[Preço Unitário]],0)</f>
        <v>7</v>
      </c>
      <c r="I259" s="11"/>
      <c r="J259" t="s">
        <v>112</v>
      </c>
      <c r="K259" s="6">
        <f>IFERROR(IF(VendasSem4[[#This Row],[Id da Venda]]=B260,0,VLOOKUP(VendasSem4[[#This Row],[Região de Entrega]],cálculos!$B$5:$C$9,2,0)),0)</f>
        <v>0</v>
      </c>
      <c r="L259" s="6">
        <f>(VendasSem4[[#This Row],[Subtotal]]*(1-VendasSem4[[#This Row],[Desconto]])+VendasSem4[[#This Row],[Valor de Entrega]])</f>
        <v>7</v>
      </c>
      <c r="M259" s="6" t="str">
        <f>IF(VendasSem4[[#This Row],[Id da Venda]]=B260,"",SUMIF(VendasSem4[Id da Venda],VendasSem4[[#This Row],[Id da Venda]],VendasSem4[Total]))</f>
        <v/>
      </c>
    </row>
    <row r="260" spans="2:13" x14ac:dyDescent="0.25">
      <c r="B260">
        <v>65</v>
      </c>
      <c r="C260" s="7">
        <v>45190</v>
      </c>
      <c r="D260" t="s">
        <v>57</v>
      </c>
      <c r="E260" t="str">
        <f>IFERROR(VLOOKUP(VendasSem4[[#This Row],[Produto]],cálculos!$I$3:$L$50,4,0),"")</f>
        <v>Barra</v>
      </c>
      <c r="F260">
        <v>5</v>
      </c>
      <c r="G260" s="6">
        <f>IFERROR(VLOOKUP(VendasSem4[[#This Row],[Produto]],cálculos!$I$3:$L$50,3,0),0)</f>
        <v>4.99</v>
      </c>
      <c r="H260" s="6">
        <f>IFERROR(VendasSem4[[#This Row],[Quantidade]]*VendasSem4[[#This Row],[Preço Unitário]],0)</f>
        <v>24.950000000000003</v>
      </c>
      <c r="I260" s="11"/>
      <c r="J260" t="s">
        <v>112</v>
      </c>
      <c r="K260" s="6">
        <f>IFERROR(IF(VendasSem4[[#This Row],[Id da Venda]]=B261,0,VLOOKUP(VendasSem4[[#This Row],[Região de Entrega]],cálculos!$B$5:$C$9,2,0)),0)</f>
        <v>0</v>
      </c>
      <c r="L260" s="6">
        <f>(VendasSem4[[#This Row],[Subtotal]]*(1-VendasSem4[[#This Row],[Desconto]])+VendasSem4[[#This Row],[Valor de Entrega]])</f>
        <v>24.950000000000003</v>
      </c>
      <c r="M260" s="6" t="str">
        <f>IF(VendasSem4[[#This Row],[Id da Venda]]=B261,"",SUMIF(VendasSem4[Id da Venda],VendasSem4[[#This Row],[Id da Venda]],VendasSem4[Total]))</f>
        <v/>
      </c>
    </row>
    <row r="261" spans="2:13" x14ac:dyDescent="0.25">
      <c r="B261">
        <v>65</v>
      </c>
      <c r="C261" s="7">
        <v>45190</v>
      </c>
      <c r="D261" t="s">
        <v>45</v>
      </c>
      <c r="E261" t="str">
        <f>IFERROR(VLOOKUP(VendasSem4[[#This Row],[Produto]],cálculos!$I$3:$L$50,4,0),"")</f>
        <v>Lata</v>
      </c>
      <c r="F261">
        <v>2</v>
      </c>
      <c r="G261" s="6">
        <f>IFERROR(VLOOKUP(VendasSem4[[#This Row],[Produto]],cálculos!$I$3:$L$50,3,0),0)</f>
        <v>2.19</v>
      </c>
      <c r="H261" s="6">
        <f>IFERROR(VendasSem4[[#This Row],[Quantidade]]*VendasSem4[[#This Row],[Preço Unitário]],0)</f>
        <v>4.38</v>
      </c>
      <c r="I261" s="11"/>
      <c r="J261" t="s">
        <v>112</v>
      </c>
      <c r="K261" s="6">
        <f>IFERROR(IF(VendasSem4[[#This Row],[Id da Venda]]=B262,0,VLOOKUP(VendasSem4[[#This Row],[Região de Entrega]],cálculos!$B$5:$C$9,2,0)),0)</f>
        <v>0</v>
      </c>
      <c r="L261" s="6">
        <f>(VendasSem4[[#This Row],[Subtotal]]*(1-VendasSem4[[#This Row],[Desconto]])+VendasSem4[[#This Row],[Valor de Entrega]])</f>
        <v>4.38</v>
      </c>
      <c r="M261" s="6" t="str">
        <f>IF(VendasSem4[[#This Row],[Id da Venda]]=B262,"",SUMIF(VendasSem4[Id da Venda],VendasSem4[[#This Row],[Id da Venda]],VendasSem4[Total]))</f>
        <v/>
      </c>
    </row>
    <row r="262" spans="2:13" x14ac:dyDescent="0.25">
      <c r="B262">
        <v>65</v>
      </c>
      <c r="C262" s="7">
        <v>45190</v>
      </c>
      <c r="D262" t="s">
        <v>136</v>
      </c>
      <c r="E262" t="str">
        <f>IFERROR(VLOOKUP(VendasSem4[[#This Row],[Produto]],cálculos!$I$3:$L$50,4,0),"")</f>
        <v>Unidade</v>
      </c>
      <c r="F262">
        <v>1</v>
      </c>
      <c r="G262" s="6">
        <f>IFERROR(VLOOKUP(VendasSem4[[#This Row],[Produto]],cálculos!$I$3:$L$50,3,0),0)</f>
        <v>10</v>
      </c>
      <c r="H262" s="6">
        <f>IFERROR(VendasSem4[[#This Row],[Quantidade]]*VendasSem4[[#This Row],[Preço Unitário]],0)</f>
        <v>10</v>
      </c>
      <c r="I262" s="11"/>
      <c r="J262" t="s">
        <v>112</v>
      </c>
      <c r="K262" s="6">
        <f>IFERROR(IF(VendasSem4[[#This Row],[Id da Venda]]=B263,0,VLOOKUP(VendasSem4[[#This Row],[Região de Entrega]],cálculos!$B$5:$C$9,2,0)),0)</f>
        <v>0</v>
      </c>
      <c r="L262" s="6">
        <f>(VendasSem4[[#This Row],[Subtotal]]*(1-VendasSem4[[#This Row],[Desconto]])+VendasSem4[[#This Row],[Valor de Entrega]])</f>
        <v>10</v>
      </c>
      <c r="M262" s="6" t="str">
        <f>IF(VendasSem4[[#This Row],[Id da Venda]]=B263,"",SUMIF(VendasSem4[Id da Venda],VendasSem4[[#This Row],[Id da Venda]],VendasSem4[Total]))</f>
        <v/>
      </c>
    </row>
    <row r="263" spans="2:13" x14ac:dyDescent="0.25">
      <c r="B263">
        <v>65</v>
      </c>
      <c r="C263" s="7">
        <v>45190</v>
      </c>
      <c r="D263" t="s">
        <v>47</v>
      </c>
      <c r="E263" t="str">
        <f>IFERROR(VLOOKUP(VendasSem4[[#This Row],[Produto]],cálculos!$I$3:$L$50,4,0),"")</f>
        <v>Unidade</v>
      </c>
      <c r="F263">
        <v>2</v>
      </c>
      <c r="G263" s="6">
        <f>IFERROR(VLOOKUP(VendasSem4[[#This Row],[Produto]],cálculos!$I$3:$L$50,3,0),0)</f>
        <v>2.6</v>
      </c>
      <c r="H263" s="6">
        <f>IFERROR(VendasSem4[[#This Row],[Quantidade]]*VendasSem4[[#This Row],[Preço Unitário]],0)</f>
        <v>5.2</v>
      </c>
      <c r="I263" s="11"/>
      <c r="J263" t="s">
        <v>112</v>
      </c>
      <c r="K263" s="6">
        <f>IFERROR(IF(VendasSem4[[#This Row],[Id da Venda]]=B264,0,VLOOKUP(VendasSem4[[#This Row],[Região de Entrega]],cálculos!$B$5:$C$9,2,0)),0)</f>
        <v>0</v>
      </c>
      <c r="L263" s="6">
        <f>(VendasSem4[[#This Row],[Subtotal]]*(1-VendasSem4[[#This Row],[Desconto]])+VendasSem4[[#This Row],[Valor de Entrega]])</f>
        <v>5.2</v>
      </c>
      <c r="M263" s="6" t="str">
        <f>IF(VendasSem4[[#This Row],[Id da Venda]]=B264,"",SUMIF(VendasSem4[Id da Venda],VendasSem4[[#This Row],[Id da Venda]],VendasSem4[Total]))</f>
        <v/>
      </c>
    </row>
    <row r="264" spans="2:13" x14ac:dyDescent="0.25">
      <c r="B264">
        <v>65</v>
      </c>
      <c r="C264" s="7">
        <v>45190</v>
      </c>
      <c r="D264" t="s">
        <v>122</v>
      </c>
      <c r="E264" t="str">
        <f>IFERROR(VLOOKUP(VendasSem4[[#This Row],[Produto]],cálculos!$I$3:$L$50,4,0),"")</f>
        <v>Kg</v>
      </c>
      <c r="F264">
        <v>3</v>
      </c>
      <c r="G264" s="6">
        <f>IFERROR(VLOOKUP(VendasSem4[[#This Row],[Produto]],cálculos!$I$3:$L$50,3,0),0)</f>
        <v>7</v>
      </c>
      <c r="H264" s="6">
        <f>IFERROR(VendasSem4[[#This Row],[Quantidade]]*VendasSem4[[#This Row],[Preço Unitário]],0)</f>
        <v>21</v>
      </c>
      <c r="I264" s="11"/>
      <c r="J264" t="s">
        <v>112</v>
      </c>
      <c r="K264" s="6">
        <f>IFERROR(IF(VendasSem4[[#This Row],[Id da Venda]]=B265,0,VLOOKUP(VendasSem4[[#This Row],[Região de Entrega]],cálculos!$B$5:$C$9,2,0)),0)</f>
        <v>0</v>
      </c>
      <c r="L264" s="6">
        <f>(VendasSem4[[#This Row],[Subtotal]]*(1-VendasSem4[[#This Row],[Desconto]])+VendasSem4[[#This Row],[Valor de Entrega]])</f>
        <v>21</v>
      </c>
      <c r="M264" s="6" t="str">
        <f>IF(VendasSem4[[#This Row],[Id da Venda]]=B265,"",SUMIF(VendasSem4[Id da Venda],VendasSem4[[#This Row],[Id da Venda]],VendasSem4[Total]))</f>
        <v/>
      </c>
    </row>
    <row r="265" spans="2:13" x14ac:dyDescent="0.25">
      <c r="B265">
        <v>65</v>
      </c>
      <c r="C265" s="7">
        <v>45190</v>
      </c>
      <c r="D265" t="s">
        <v>42</v>
      </c>
      <c r="E265" t="str">
        <f>IFERROR(VLOOKUP(VendasSem4[[#This Row],[Produto]],cálculos!$I$3:$L$50,4,0),"")</f>
        <v>Kg</v>
      </c>
      <c r="F265">
        <v>1</v>
      </c>
      <c r="G265" s="6">
        <f>IFERROR(VLOOKUP(VendasSem4[[#This Row],[Produto]],cálculos!$I$3:$L$50,3,0),0)</f>
        <v>3.99</v>
      </c>
      <c r="H265" s="6">
        <f>IFERROR(VendasSem4[[#This Row],[Quantidade]]*VendasSem4[[#This Row],[Preço Unitário]],0)</f>
        <v>3.99</v>
      </c>
      <c r="I265" s="11"/>
      <c r="J265" t="s">
        <v>111</v>
      </c>
      <c r="K265" s="6">
        <f>IFERROR(IF(VendasSem4[[#This Row],[Id da Venda]]=B266,0,VLOOKUP(VendasSem4[[#This Row],[Região de Entrega]],cálculos!$B$5:$C$9,2,0)),0)</f>
        <v>15</v>
      </c>
      <c r="L265" s="6">
        <f>(VendasSem4[[#This Row],[Subtotal]]*(1-VendasSem4[[#This Row],[Desconto]])+VendasSem4[[#This Row],[Valor de Entrega]])</f>
        <v>18.990000000000002</v>
      </c>
      <c r="M265" s="6">
        <f>IF(VendasSem4[[#This Row],[Id da Venda]]=B266,"",SUMIF(VendasSem4[Id da Venda],VendasSem4[[#This Row],[Id da Venda]],VendasSem4[Total]))</f>
        <v>334.09</v>
      </c>
    </row>
    <row r="266" spans="2:13" x14ac:dyDescent="0.25">
      <c r="B266">
        <v>66</v>
      </c>
      <c r="C266" s="7">
        <v>45190</v>
      </c>
      <c r="D266" t="s">
        <v>130</v>
      </c>
      <c r="E266" t="str">
        <f>IFERROR(VLOOKUP(VendasSem4[[#This Row],[Produto]],cálculos!$I$3:$L$50,4,0),"")</f>
        <v>Kg</v>
      </c>
      <c r="F266">
        <v>1</v>
      </c>
      <c r="G266" s="6">
        <f>IFERROR(VLOOKUP(VendasSem4[[#This Row],[Produto]],cálculos!$I$3:$L$50,3,0),0)</f>
        <v>2.8</v>
      </c>
      <c r="H266" s="6">
        <f>IFERROR(VendasSem4[[#This Row],[Quantidade]]*VendasSem4[[#This Row],[Preço Unitário]],0)</f>
        <v>2.8</v>
      </c>
      <c r="I266" s="11"/>
      <c r="J266" t="s">
        <v>109</v>
      </c>
      <c r="K266" s="6">
        <f>IFERROR(IF(VendasSem4[[#This Row],[Id da Venda]]=B267,0,VLOOKUP(VendasSem4[[#This Row],[Região de Entrega]],cálculos!$B$5:$C$9,2,0)),0)</f>
        <v>0</v>
      </c>
      <c r="L266" s="6">
        <f>(VendasSem4[[#This Row],[Subtotal]]*(1-VendasSem4[[#This Row],[Desconto]])+VendasSem4[[#This Row],[Valor de Entrega]])</f>
        <v>2.8</v>
      </c>
      <c r="M266" s="6" t="str">
        <f>IF(VendasSem4[[#This Row],[Id da Venda]]=B267,"",SUMIF(VendasSem4[Id da Venda],VendasSem4[[#This Row],[Id da Venda]],VendasSem4[Total]))</f>
        <v/>
      </c>
    </row>
    <row r="267" spans="2:13" x14ac:dyDescent="0.25">
      <c r="B267">
        <v>66</v>
      </c>
      <c r="C267" s="7">
        <v>45190</v>
      </c>
      <c r="D267" t="s">
        <v>32</v>
      </c>
      <c r="E267" t="str">
        <f>IFERROR(VLOOKUP(VendasSem4[[#This Row],[Produto]],cálculos!$I$3:$L$50,4,0),"")</f>
        <v>Kg</v>
      </c>
      <c r="F267">
        <v>3</v>
      </c>
      <c r="G267" s="6">
        <f>IFERROR(VLOOKUP(VendasSem4[[#This Row],[Produto]],cálculos!$I$3:$L$50,3,0),0)</f>
        <v>2.4900000000000002</v>
      </c>
      <c r="H267" s="6">
        <f>IFERROR(VendasSem4[[#This Row],[Quantidade]]*VendasSem4[[#This Row],[Preço Unitário]],0)</f>
        <v>7.4700000000000006</v>
      </c>
      <c r="I267" s="11"/>
      <c r="J267" t="s">
        <v>109</v>
      </c>
      <c r="K267" s="6">
        <f>IFERROR(IF(VendasSem4[[#This Row],[Id da Venda]]=B268,0,VLOOKUP(VendasSem4[[#This Row],[Região de Entrega]],cálculos!$B$5:$C$9,2,0)),0)</f>
        <v>0</v>
      </c>
      <c r="L267" s="6">
        <f>(VendasSem4[[#This Row],[Subtotal]]*(1-VendasSem4[[#This Row],[Desconto]])+VendasSem4[[#This Row],[Valor de Entrega]])</f>
        <v>7.4700000000000006</v>
      </c>
      <c r="M267" s="6" t="str">
        <f>IF(VendasSem4[[#This Row],[Id da Venda]]=B268,"",SUMIF(VendasSem4[Id da Venda],VendasSem4[[#This Row],[Id da Venda]],VendasSem4[Total]))</f>
        <v/>
      </c>
    </row>
    <row r="268" spans="2:13" x14ac:dyDescent="0.25">
      <c r="B268">
        <v>66</v>
      </c>
      <c r="C268" s="7">
        <v>45190</v>
      </c>
      <c r="D268" t="s">
        <v>71</v>
      </c>
      <c r="E268" t="str">
        <f>IFERROR(VLOOKUP(VendasSem4[[#This Row],[Produto]],cálculos!$I$3:$L$50,4,0),"")</f>
        <v>Unidade</v>
      </c>
      <c r="F268">
        <v>1</v>
      </c>
      <c r="G268" s="6">
        <f>IFERROR(VLOOKUP(VendasSem4[[#This Row],[Produto]],cálculos!$I$3:$L$50,3,0),0)</f>
        <v>2.89</v>
      </c>
      <c r="H268" s="6">
        <f>IFERROR(VendasSem4[[#This Row],[Quantidade]]*VendasSem4[[#This Row],[Preço Unitário]],0)</f>
        <v>2.89</v>
      </c>
      <c r="I268" s="11"/>
      <c r="J268" t="s">
        <v>109</v>
      </c>
      <c r="K268" s="6">
        <f>IFERROR(IF(VendasSem4[[#This Row],[Id da Venda]]=B269,0,VLOOKUP(VendasSem4[[#This Row],[Região de Entrega]],cálculos!$B$5:$C$9,2,0)),0)</f>
        <v>0</v>
      </c>
      <c r="L268" s="6">
        <f>(VendasSem4[[#This Row],[Subtotal]]*(1-VendasSem4[[#This Row],[Desconto]])+VendasSem4[[#This Row],[Valor de Entrega]])</f>
        <v>2.89</v>
      </c>
      <c r="M268" s="6">
        <f>IF(VendasSem4[[#This Row],[Id da Venda]]=B269,"",SUMIF(VendasSem4[Id da Venda],VendasSem4[[#This Row],[Id da Venda]],VendasSem4[Total]))</f>
        <v>13.16</v>
      </c>
    </row>
    <row r="269" spans="2:13" x14ac:dyDescent="0.25">
      <c r="B269">
        <v>67</v>
      </c>
      <c r="C269" s="7">
        <v>45190</v>
      </c>
      <c r="D269" t="s">
        <v>45</v>
      </c>
      <c r="E269" t="str">
        <f>IFERROR(VLOOKUP(VendasSem4[[#This Row],[Produto]],cálculos!$I$3:$L$50,4,0),"")</f>
        <v>Lata</v>
      </c>
      <c r="F269">
        <v>100</v>
      </c>
      <c r="G269" s="6">
        <f>IFERROR(VLOOKUP(VendasSem4[[#This Row],[Produto]],cálculos!$I$3:$L$50,3,0),0)</f>
        <v>2.19</v>
      </c>
      <c r="H269" s="6">
        <f>IFERROR(VendasSem4[[#This Row],[Quantidade]]*VendasSem4[[#This Row],[Preço Unitário]],0)</f>
        <v>219</v>
      </c>
      <c r="I269" s="11"/>
      <c r="J269" t="s">
        <v>111</v>
      </c>
      <c r="K269" s="6">
        <f>IFERROR(IF(VendasSem4[[#This Row],[Id da Venda]]=B270,0,VLOOKUP(VendasSem4[[#This Row],[Região de Entrega]],cálculos!$B$5:$C$9,2,0)),0)</f>
        <v>0</v>
      </c>
      <c r="L269" s="6">
        <f>(VendasSem4[[#This Row],[Subtotal]]*(1-VendasSem4[[#This Row],[Desconto]])+VendasSem4[[#This Row],[Valor de Entrega]])</f>
        <v>219</v>
      </c>
      <c r="M269" s="6" t="str">
        <f>IF(VendasSem4[[#This Row],[Id da Venda]]=B270,"",SUMIF(VendasSem4[Id da Venda],VendasSem4[[#This Row],[Id da Venda]],VendasSem4[Total]))</f>
        <v/>
      </c>
    </row>
    <row r="270" spans="2:13" x14ac:dyDescent="0.25">
      <c r="B270">
        <v>67</v>
      </c>
      <c r="C270" s="7">
        <v>45190</v>
      </c>
      <c r="D270" t="s">
        <v>40</v>
      </c>
      <c r="E270" t="str">
        <f>IFERROR(VLOOKUP(VendasSem4[[#This Row],[Produto]],cálculos!$I$3:$L$50,4,0),"")</f>
        <v>Garrafa</v>
      </c>
      <c r="F270">
        <v>50</v>
      </c>
      <c r="G270" s="6">
        <f>IFERROR(VLOOKUP(VendasSem4[[#This Row],[Produto]],cálculos!$I$3:$L$50,3,0),0)</f>
        <v>29.9</v>
      </c>
      <c r="H270" s="6">
        <f>IFERROR(VendasSem4[[#This Row],[Quantidade]]*VendasSem4[[#This Row],[Preço Unitário]],0)</f>
        <v>1495</v>
      </c>
      <c r="I270" s="11"/>
      <c r="J270" t="s">
        <v>111</v>
      </c>
      <c r="K270" s="6">
        <f>IFERROR(IF(VendasSem4[[#This Row],[Id da Venda]]=B271,0,VLOOKUP(VendasSem4[[#This Row],[Região de Entrega]],cálculos!$B$5:$C$9,2,0)),0)</f>
        <v>15</v>
      </c>
      <c r="L270" s="6">
        <f>(VendasSem4[[#This Row],[Subtotal]]*(1-VendasSem4[[#This Row],[Desconto]])+VendasSem4[[#This Row],[Valor de Entrega]])</f>
        <v>1510</v>
      </c>
      <c r="M270" s="6">
        <f>IF(VendasSem4[[#This Row],[Id da Venda]]=B271,"",SUMIF(VendasSem4[Id da Venda],VendasSem4[[#This Row],[Id da Venda]],VendasSem4[Total]))</f>
        <v>1729</v>
      </c>
    </row>
    <row r="271" spans="2:13" x14ac:dyDescent="0.25">
      <c r="B271">
        <v>68</v>
      </c>
      <c r="C271" s="7">
        <v>45190</v>
      </c>
      <c r="D271" t="s">
        <v>130</v>
      </c>
      <c r="E271" t="str">
        <f>IFERROR(VLOOKUP(VendasSem4[[#This Row],[Produto]],cálculos!$I$3:$L$50,4,0),"")</f>
        <v>Kg</v>
      </c>
      <c r="F271">
        <v>1</v>
      </c>
      <c r="G271" s="6">
        <f>IFERROR(VLOOKUP(VendasSem4[[#This Row],[Produto]],cálculos!$I$3:$L$50,3,0),0)</f>
        <v>2.8</v>
      </c>
      <c r="H271" s="6">
        <f>IFERROR(VendasSem4[[#This Row],[Quantidade]]*VendasSem4[[#This Row],[Preço Unitário]],0)</f>
        <v>2.8</v>
      </c>
      <c r="I271" s="11"/>
      <c r="J271" t="s">
        <v>109</v>
      </c>
      <c r="K271" s="6">
        <f>IFERROR(IF(VendasSem4[[#This Row],[Id da Venda]]=B272,0,VLOOKUP(VendasSem4[[#This Row],[Região de Entrega]],cálculos!$B$5:$C$9,2,0)),0)</f>
        <v>0</v>
      </c>
      <c r="L271" s="6">
        <f>(VendasSem4[[#This Row],[Subtotal]]*(1-VendasSem4[[#This Row],[Desconto]])+VendasSem4[[#This Row],[Valor de Entrega]])</f>
        <v>2.8</v>
      </c>
      <c r="M271" s="6" t="str">
        <f>IF(VendasSem4[[#This Row],[Id da Venda]]=B272,"",SUMIF(VendasSem4[Id da Venda],VendasSem4[[#This Row],[Id da Venda]],VendasSem4[Total]))</f>
        <v/>
      </c>
    </row>
    <row r="272" spans="2:13" x14ac:dyDescent="0.25">
      <c r="B272">
        <v>68</v>
      </c>
      <c r="C272" s="7">
        <v>45190</v>
      </c>
      <c r="D272" t="s">
        <v>35</v>
      </c>
      <c r="E272" t="str">
        <f>IFERROR(VLOOKUP(VendasSem4[[#This Row],[Produto]],cálculos!$I$3:$L$50,4,0),"")</f>
        <v>Unidade</v>
      </c>
      <c r="F272">
        <v>1</v>
      </c>
      <c r="G272" s="6">
        <f>IFERROR(VLOOKUP(VendasSem4[[#This Row],[Produto]],cálculos!$I$3:$L$50,3,0),0)</f>
        <v>2.99</v>
      </c>
      <c r="H272" s="6">
        <f>IFERROR(VendasSem4[[#This Row],[Quantidade]]*VendasSem4[[#This Row],[Preço Unitário]],0)</f>
        <v>2.99</v>
      </c>
      <c r="I272" s="11"/>
      <c r="J272" t="s">
        <v>109</v>
      </c>
      <c r="K272" s="6">
        <f>IFERROR(IF(VendasSem4[[#This Row],[Id da Venda]]=B273,0,VLOOKUP(VendasSem4[[#This Row],[Região de Entrega]],cálculos!$B$5:$C$9,2,0)),0)</f>
        <v>0</v>
      </c>
      <c r="L272" s="6">
        <f>(VendasSem4[[#This Row],[Subtotal]]*(1-VendasSem4[[#This Row],[Desconto]])+VendasSem4[[#This Row],[Valor de Entrega]])</f>
        <v>2.99</v>
      </c>
      <c r="M272" s="6" t="str">
        <f>IF(VendasSem4[[#This Row],[Id da Venda]]=B273,"",SUMIF(VendasSem4[Id da Venda],VendasSem4[[#This Row],[Id da Venda]],VendasSem4[Total]))</f>
        <v/>
      </c>
    </row>
    <row r="273" spans="2:13" x14ac:dyDescent="0.25">
      <c r="B273">
        <v>68</v>
      </c>
      <c r="C273" s="7">
        <v>45190</v>
      </c>
      <c r="D273" t="s">
        <v>121</v>
      </c>
      <c r="E273" t="str">
        <f>IFERROR(VLOOKUP(VendasSem4[[#This Row],[Produto]],cálculos!$I$3:$L$50,4,0),"")</f>
        <v>Kg</v>
      </c>
      <c r="F273">
        <v>2</v>
      </c>
      <c r="G273" s="6">
        <f>IFERROR(VLOOKUP(VendasSem4[[#This Row],[Produto]],cálculos!$I$3:$L$50,3,0),0)</f>
        <v>12</v>
      </c>
      <c r="H273" s="6">
        <f>IFERROR(VendasSem4[[#This Row],[Quantidade]]*VendasSem4[[#This Row],[Preço Unitário]],0)</f>
        <v>24</v>
      </c>
      <c r="I273" s="11"/>
      <c r="J273" t="s">
        <v>109</v>
      </c>
      <c r="K273" s="6">
        <f>IFERROR(IF(VendasSem4[[#This Row],[Id da Venda]]=B274,0,VLOOKUP(VendasSem4[[#This Row],[Região de Entrega]],cálculos!$B$5:$C$9,2,0)),0)</f>
        <v>0</v>
      </c>
      <c r="L273" s="6">
        <f>(VendasSem4[[#This Row],[Subtotal]]*(1-VendasSem4[[#This Row],[Desconto]])+VendasSem4[[#This Row],[Valor de Entrega]])</f>
        <v>24</v>
      </c>
      <c r="M273" s="6" t="str">
        <f>IF(VendasSem4[[#This Row],[Id da Venda]]=B274,"",SUMIF(VendasSem4[Id da Venda],VendasSem4[[#This Row],[Id da Venda]],VendasSem4[Total]))</f>
        <v/>
      </c>
    </row>
    <row r="274" spans="2:13" x14ac:dyDescent="0.25">
      <c r="B274">
        <v>68</v>
      </c>
      <c r="C274" s="7">
        <v>45190</v>
      </c>
      <c r="D274" t="s">
        <v>44</v>
      </c>
      <c r="E274" t="str">
        <f>IFERROR(VLOOKUP(VendasSem4[[#This Row],[Produto]],cálculos!$I$3:$L$50,4,0),"")</f>
        <v>Pacote</v>
      </c>
      <c r="F274">
        <v>1</v>
      </c>
      <c r="G274" s="6">
        <f>IFERROR(VLOOKUP(VendasSem4[[#This Row],[Produto]],cálculos!$I$3:$L$50,3,0),0)</f>
        <v>1.1499999999999999</v>
      </c>
      <c r="H274" s="6">
        <f>IFERROR(VendasSem4[[#This Row],[Quantidade]]*VendasSem4[[#This Row],[Preço Unitário]],0)</f>
        <v>1.1499999999999999</v>
      </c>
      <c r="I274" s="11"/>
      <c r="J274" t="s">
        <v>109</v>
      </c>
      <c r="K274" s="6">
        <f>IFERROR(IF(VendasSem4[[#This Row],[Id da Venda]]=B275,0,VLOOKUP(VendasSem4[[#This Row],[Região de Entrega]],cálculos!$B$5:$C$9,2,0)),0)</f>
        <v>0</v>
      </c>
      <c r="L274" s="6">
        <f>(VendasSem4[[#This Row],[Subtotal]]*(1-VendasSem4[[#This Row],[Desconto]])+VendasSem4[[#This Row],[Valor de Entrega]])</f>
        <v>1.1499999999999999</v>
      </c>
      <c r="M274" s="6" t="str">
        <f>IF(VendasSem4[[#This Row],[Id da Venda]]=B275,"",SUMIF(VendasSem4[Id da Venda],VendasSem4[[#This Row],[Id da Venda]],VendasSem4[Total]))</f>
        <v/>
      </c>
    </row>
    <row r="275" spans="2:13" x14ac:dyDescent="0.25">
      <c r="B275">
        <v>68</v>
      </c>
      <c r="C275" s="7">
        <v>45190</v>
      </c>
      <c r="D275" t="s">
        <v>32</v>
      </c>
      <c r="E275" t="str">
        <f>IFERROR(VLOOKUP(VendasSem4[[#This Row],[Produto]],cálculos!$I$3:$L$50,4,0),"")</f>
        <v>Kg</v>
      </c>
      <c r="F275">
        <v>2</v>
      </c>
      <c r="G275" s="6">
        <f>IFERROR(VLOOKUP(VendasSem4[[#This Row],[Produto]],cálculos!$I$3:$L$50,3,0),0)</f>
        <v>2.4900000000000002</v>
      </c>
      <c r="H275" s="6">
        <f>IFERROR(VendasSem4[[#This Row],[Quantidade]]*VendasSem4[[#This Row],[Preço Unitário]],0)</f>
        <v>4.9800000000000004</v>
      </c>
      <c r="I275" s="11"/>
      <c r="J275" t="s">
        <v>109</v>
      </c>
      <c r="K275" s="6">
        <f>IFERROR(IF(VendasSem4[[#This Row],[Id da Venda]]=B276,0,VLOOKUP(VendasSem4[[#This Row],[Região de Entrega]],cálculos!$B$5:$C$9,2,0)),0)</f>
        <v>0</v>
      </c>
      <c r="L275" s="6">
        <f>(VendasSem4[[#This Row],[Subtotal]]*(1-VendasSem4[[#This Row],[Desconto]])+VendasSem4[[#This Row],[Valor de Entrega]])</f>
        <v>4.9800000000000004</v>
      </c>
      <c r="M275" s="6" t="str">
        <f>IF(VendasSem4[[#This Row],[Id da Venda]]=B276,"",SUMIF(VendasSem4[Id da Venda],VendasSem4[[#This Row],[Id da Venda]],VendasSem4[Total]))</f>
        <v/>
      </c>
    </row>
    <row r="276" spans="2:13" x14ac:dyDescent="0.25">
      <c r="B276">
        <v>68</v>
      </c>
      <c r="C276" s="7">
        <v>45190</v>
      </c>
      <c r="D276" t="s">
        <v>56</v>
      </c>
      <c r="E276" t="str">
        <f>IFERROR(VLOOKUP(VendasSem4[[#This Row],[Produto]],cálculos!$I$3:$L$50,4,0),"")</f>
        <v>Pacote</v>
      </c>
      <c r="F276">
        <v>1</v>
      </c>
      <c r="G276" s="6">
        <f>IFERROR(VLOOKUP(VendasSem4[[#This Row],[Produto]],cálculos!$I$3:$L$50,3,0),0)</f>
        <v>1.99</v>
      </c>
      <c r="H276" s="6">
        <f>IFERROR(VendasSem4[[#This Row],[Quantidade]]*VendasSem4[[#This Row],[Preço Unitário]],0)</f>
        <v>1.99</v>
      </c>
      <c r="I276" s="11"/>
      <c r="J276" t="s">
        <v>109</v>
      </c>
      <c r="K276" s="6">
        <f>IFERROR(IF(VendasSem4[[#This Row],[Id da Venda]]=B277,0,VLOOKUP(VendasSem4[[#This Row],[Região de Entrega]],cálculos!$B$5:$C$9,2,0)),0)</f>
        <v>0</v>
      </c>
      <c r="L276" s="6">
        <f>(VendasSem4[[#This Row],[Subtotal]]*(1-VendasSem4[[#This Row],[Desconto]])+VendasSem4[[#This Row],[Valor de Entrega]])</f>
        <v>1.99</v>
      </c>
      <c r="M276" s="6" t="str">
        <f>IF(VendasSem4[[#This Row],[Id da Venda]]=B277,"",SUMIF(VendasSem4[Id da Venda],VendasSem4[[#This Row],[Id da Venda]],VendasSem4[Total]))</f>
        <v/>
      </c>
    </row>
    <row r="277" spans="2:13" x14ac:dyDescent="0.25">
      <c r="B277">
        <v>68</v>
      </c>
      <c r="C277" s="7">
        <v>45190</v>
      </c>
      <c r="D277" t="s">
        <v>122</v>
      </c>
      <c r="E277" t="str">
        <f>IFERROR(VLOOKUP(VendasSem4[[#This Row],[Produto]],cálculos!$I$3:$L$50,4,0),"")</f>
        <v>Kg</v>
      </c>
      <c r="F277">
        <v>1</v>
      </c>
      <c r="G277" s="6">
        <f>IFERROR(VLOOKUP(VendasSem4[[#This Row],[Produto]],cálculos!$I$3:$L$50,3,0),0)</f>
        <v>7</v>
      </c>
      <c r="H277" s="6">
        <f>IFERROR(VendasSem4[[#This Row],[Quantidade]]*VendasSem4[[#This Row],[Preço Unitário]],0)</f>
        <v>7</v>
      </c>
      <c r="I277" s="11"/>
      <c r="J277" t="s">
        <v>109</v>
      </c>
      <c r="K277" s="6">
        <f>IFERROR(IF(VendasSem4[[#This Row],[Id da Venda]]=B278,0,VLOOKUP(VendasSem4[[#This Row],[Região de Entrega]],cálculos!$B$5:$C$9,2,0)),0)</f>
        <v>0</v>
      </c>
      <c r="L277" s="6">
        <f>(VendasSem4[[#This Row],[Subtotal]]*(1-VendasSem4[[#This Row],[Desconto]])+VendasSem4[[#This Row],[Valor de Entrega]])</f>
        <v>7</v>
      </c>
      <c r="M277" s="6" t="str">
        <f>IF(VendasSem4[[#This Row],[Id da Venda]]=B278,"",SUMIF(VendasSem4[Id da Venda],VendasSem4[[#This Row],[Id da Venda]],VendasSem4[Total]))</f>
        <v/>
      </c>
    </row>
    <row r="278" spans="2:13" x14ac:dyDescent="0.25">
      <c r="B278">
        <v>68</v>
      </c>
      <c r="C278" s="7">
        <v>45190</v>
      </c>
      <c r="D278" t="s">
        <v>59</v>
      </c>
      <c r="E278" t="str">
        <f>IFERROR(VLOOKUP(VendasSem4[[#This Row],[Produto]],cálculos!$I$3:$L$50,4,0),"")</f>
        <v>Pacote</v>
      </c>
      <c r="F278">
        <v>1</v>
      </c>
      <c r="G278" s="6">
        <f>IFERROR(VLOOKUP(VendasSem4[[#This Row],[Produto]],cálculos!$I$3:$L$50,3,0),0)</f>
        <v>1.1499999999999999</v>
      </c>
      <c r="H278" s="6">
        <f>IFERROR(VendasSem4[[#This Row],[Quantidade]]*VendasSem4[[#This Row],[Preço Unitário]],0)</f>
        <v>1.1499999999999999</v>
      </c>
      <c r="I278" s="11"/>
      <c r="J278" t="s">
        <v>109</v>
      </c>
      <c r="K278" s="6">
        <f>IFERROR(IF(VendasSem4[[#This Row],[Id da Venda]]=B279,0,VLOOKUP(VendasSem4[[#This Row],[Região de Entrega]],cálculos!$B$5:$C$9,2,0)),0)</f>
        <v>0</v>
      </c>
      <c r="L278" s="6">
        <f>(VendasSem4[[#This Row],[Subtotal]]*(1-VendasSem4[[#This Row],[Desconto]])+VendasSem4[[#This Row],[Valor de Entrega]])</f>
        <v>1.1499999999999999</v>
      </c>
      <c r="M278" s="6" t="str">
        <f>IF(VendasSem4[[#This Row],[Id da Venda]]=B279,"",SUMIF(VendasSem4[Id da Venda],VendasSem4[[#This Row],[Id da Venda]],VendasSem4[Total]))</f>
        <v/>
      </c>
    </row>
    <row r="279" spans="2:13" x14ac:dyDescent="0.25">
      <c r="B279">
        <v>68</v>
      </c>
      <c r="C279" s="7">
        <v>45190</v>
      </c>
      <c r="D279" t="s">
        <v>119</v>
      </c>
      <c r="E279" t="str">
        <f>IFERROR(VLOOKUP(VendasSem4[[#This Row],[Produto]],cálculos!$I$3:$L$50,4,0),"")</f>
        <v>Kg</v>
      </c>
      <c r="F279">
        <v>1</v>
      </c>
      <c r="G279" s="6">
        <f>IFERROR(VLOOKUP(VendasSem4[[#This Row],[Produto]],cálculos!$I$3:$L$50,3,0),0)</f>
        <v>6.8</v>
      </c>
      <c r="H279" s="6">
        <f>IFERROR(VendasSem4[[#This Row],[Quantidade]]*VendasSem4[[#This Row],[Preço Unitário]],0)</f>
        <v>6.8</v>
      </c>
      <c r="I279" s="11"/>
      <c r="J279" t="s">
        <v>109</v>
      </c>
      <c r="K279" s="6">
        <f>IFERROR(IF(VendasSem4[[#This Row],[Id da Venda]]=B280,0,VLOOKUP(VendasSem4[[#This Row],[Região de Entrega]],cálculos!$B$5:$C$9,2,0)),0)</f>
        <v>0</v>
      </c>
      <c r="L279" s="6">
        <f>(VendasSem4[[#This Row],[Subtotal]]*(1-VendasSem4[[#This Row],[Desconto]])+VendasSem4[[#This Row],[Valor de Entrega]])</f>
        <v>6.8</v>
      </c>
      <c r="M279" s="6" t="str">
        <f>IF(VendasSem4[[#This Row],[Id da Venda]]=B280,"",SUMIF(VendasSem4[Id da Venda],VendasSem4[[#This Row],[Id da Venda]],VendasSem4[Total]))</f>
        <v/>
      </c>
    </row>
    <row r="280" spans="2:13" x14ac:dyDescent="0.25">
      <c r="B280">
        <v>68</v>
      </c>
      <c r="C280" s="7">
        <v>45190</v>
      </c>
      <c r="D280" t="s">
        <v>39</v>
      </c>
      <c r="E280" t="str">
        <f>IFERROR(VLOOKUP(VendasSem4[[#This Row],[Produto]],cálculos!$I$3:$L$50,4,0),"")</f>
        <v>Kg</v>
      </c>
      <c r="F280">
        <v>1</v>
      </c>
      <c r="G280" s="6">
        <f>IFERROR(VLOOKUP(VendasSem4[[#This Row],[Produto]],cálculos!$I$3:$L$50,3,0),0)</f>
        <v>25.9</v>
      </c>
      <c r="H280" s="6">
        <f>IFERROR(VendasSem4[[#This Row],[Quantidade]]*VendasSem4[[#This Row],[Preço Unitário]],0)</f>
        <v>25.9</v>
      </c>
      <c r="I280" s="11"/>
      <c r="J280" t="s">
        <v>109</v>
      </c>
      <c r="K280" s="6">
        <f>IFERROR(IF(VendasSem4[[#This Row],[Id da Venda]]=B281,0,VLOOKUP(VendasSem4[[#This Row],[Região de Entrega]],cálculos!$B$5:$C$9,2,0)),0)</f>
        <v>0</v>
      </c>
      <c r="L280" s="6">
        <f>(VendasSem4[[#This Row],[Subtotal]]*(1-VendasSem4[[#This Row],[Desconto]])+VendasSem4[[#This Row],[Valor de Entrega]])</f>
        <v>25.9</v>
      </c>
      <c r="M280" s="6">
        <f>IF(VendasSem4[[#This Row],[Id da Venda]]=B281,"",SUMIF(VendasSem4[Id da Venda],VendasSem4[[#This Row],[Id da Venda]],VendasSem4[Total]))</f>
        <v>78.759999999999991</v>
      </c>
    </row>
    <row r="281" spans="2:13" x14ac:dyDescent="0.25">
      <c r="B281">
        <v>69</v>
      </c>
      <c r="C281" s="7">
        <v>45191</v>
      </c>
      <c r="D281" t="s">
        <v>130</v>
      </c>
      <c r="E281" t="str">
        <f>IFERROR(VLOOKUP(VendasSem4[[#This Row],[Produto]],cálculos!$I$3:$L$50,4,0),"")</f>
        <v>Kg</v>
      </c>
      <c r="F281">
        <v>1</v>
      </c>
      <c r="G281" s="6">
        <f>IFERROR(VLOOKUP(VendasSem4[[#This Row],[Produto]],cálculos!$I$3:$L$50,3,0),0)</f>
        <v>2.8</v>
      </c>
      <c r="H281" s="6">
        <f>IFERROR(VendasSem4[[#This Row],[Quantidade]]*VendasSem4[[#This Row],[Preço Unitário]],0)</f>
        <v>2.8</v>
      </c>
      <c r="I281" s="11"/>
      <c r="J281" t="s">
        <v>108</v>
      </c>
      <c r="K281" s="6">
        <f>IFERROR(IF(VendasSem4[[#This Row],[Id da Venda]]=B282,0,VLOOKUP(VendasSem4[[#This Row],[Região de Entrega]],cálculos!$B$5:$C$9,2,0)),0)</f>
        <v>0</v>
      </c>
      <c r="L281" s="6">
        <f>(VendasSem4[[#This Row],[Subtotal]]*(1-VendasSem4[[#This Row],[Desconto]])+VendasSem4[[#This Row],[Valor de Entrega]])</f>
        <v>2.8</v>
      </c>
      <c r="M281" s="6" t="str">
        <f>IF(VendasSem4[[#This Row],[Id da Venda]]=B282,"",SUMIF(VendasSem4[Id da Venda],VendasSem4[[#This Row],[Id da Venda]],VendasSem4[Total]))</f>
        <v/>
      </c>
    </row>
    <row r="282" spans="2:13" x14ac:dyDescent="0.25">
      <c r="B282">
        <v>69</v>
      </c>
      <c r="C282" s="7">
        <v>45191</v>
      </c>
      <c r="D282" t="s">
        <v>35</v>
      </c>
      <c r="E282" t="str">
        <f>IFERROR(VLOOKUP(VendasSem4[[#This Row],[Produto]],cálculos!$I$3:$L$50,4,0),"")</f>
        <v>Unidade</v>
      </c>
      <c r="F282">
        <v>2</v>
      </c>
      <c r="G282" s="6">
        <f>IFERROR(VLOOKUP(VendasSem4[[#This Row],[Produto]],cálculos!$I$3:$L$50,3,0),0)</f>
        <v>2.99</v>
      </c>
      <c r="H282" s="6">
        <f>IFERROR(VendasSem4[[#This Row],[Quantidade]]*VendasSem4[[#This Row],[Preço Unitário]],0)</f>
        <v>5.98</v>
      </c>
      <c r="I282" s="11"/>
      <c r="J282" t="s">
        <v>108</v>
      </c>
      <c r="K282" s="6">
        <f>IFERROR(IF(VendasSem4[[#This Row],[Id da Venda]]=B283,0,VLOOKUP(VendasSem4[[#This Row],[Região de Entrega]],cálculos!$B$5:$C$9,2,0)),0)</f>
        <v>0</v>
      </c>
      <c r="L282" s="6">
        <f>(VendasSem4[[#This Row],[Subtotal]]*(1-VendasSem4[[#This Row],[Desconto]])+VendasSem4[[#This Row],[Valor de Entrega]])</f>
        <v>5.98</v>
      </c>
      <c r="M282" s="6" t="str">
        <f>IF(VendasSem4[[#This Row],[Id da Venda]]=B283,"",SUMIF(VendasSem4[Id da Venda],VendasSem4[[#This Row],[Id da Venda]],VendasSem4[Total]))</f>
        <v/>
      </c>
    </row>
    <row r="283" spans="2:13" x14ac:dyDescent="0.25">
      <c r="B283">
        <v>69</v>
      </c>
      <c r="C283" s="7">
        <v>45191</v>
      </c>
      <c r="D283" t="s">
        <v>121</v>
      </c>
      <c r="E283" t="str">
        <f>IFERROR(VLOOKUP(VendasSem4[[#This Row],[Produto]],cálculos!$I$3:$L$50,4,0),"")</f>
        <v>Kg</v>
      </c>
      <c r="F283">
        <v>1</v>
      </c>
      <c r="G283" s="6">
        <f>IFERROR(VLOOKUP(VendasSem4[[#This Row],[Produto]],cálculos!$I$3:$L$50,3,0),0)</f>
        <v>12</v>
      </c>
      <c r="H283" s="6">
        <f>IFERROR(VendasSem4[[#This Row],[Quantidade]]*VendasSem4[[#This Row],[Preço Unitário]],0)</f>
        <v>12</v>
      </c>
      <c r="I283" s="11"/>
      <c r="J283" t="s">
        <v>108</v>
      </c>
      <c r="K283" s="6">
        <f>IFERROR(IF(VendasSem4[[#This Row],[Id da Venda]]=B284,0,VLOOKUP(VendasSem4[[#This Row],[Região de Entrega]],cálculos!$B$5:$C$9,2,0)),0)</f>
        <v>0</v>
      </c>
      <c r="L283" s="6">
        <f>(VendasSem4[[#This Row],[Subtotal]]*(1-VendasSem4[[#This Row],[Desconto]])+VendasSem4[[#This Row],[Valor de Entrega]])</f>
        <v>12</v>
      </c>
      <c r="M283" s="6" t="str">
        <f>IF(VendasSem4[[#This Row],[Id da Venda]]=B284,"",SUMIF(VendasSem4[Id da Venda],VendasSem4[[#This Row],[Id da Venda]],VendasSem4[Total]))</f>
        <v/>
      </c>
    </row>
    <row r="284" spans="2:13" x14ac:dyDescent="0.25">
      <c r="B284">
        <v>69</v>
      </c>
      <c r="C284" s="7">
        <v>45191</v>
      </c>
      <c r="D284" t="s">
        <v>44</v>
      </c>
      <c r="E284" t="str">
        <f>IFERROR(VLOOKUP(VendasSem4[[#This Row],[Produto]],cálculos!$I$3:$L$50,4,0),"")</f>
        <v>Pacote</v>
      </c>
      <c r="F284">
        <v>3</v>
      </c>
      <c r="G284" s="6">
        <f>IFERROR(VLOOKUP(VendasSem4[[#This Row],[Produto]],cálculos!$I$3:$L$50,3,0),0)</f>
        <v>1.1499999999999999</v>
      </c>
      <c r="H284" s="6">
        <f>IFERROR(VendasSem4[[#This Row],[Quantidade]]*VendasSem4[[#This Row],[Preço Unitário]],0)</f>
        <v>3.4499999999999997</v>
      </c>
      <c r="I284" s="11"/>
      <c r="J284" t="s">
        <v>108</v>
      </c>
      <c r="K284" s="6">
        <f>IFERROR(IF(VendasSem4[[#This Row],[Id da Venda]]=B285,0,VLOOKUP(VendasSem4[[#This Row],[Região de Entrega]],cálculos!$B$5:$C$9,2,0)),0)</f>
        <v>0</v>
      </c>
      <c r="L284" s="6">
        <f>(VendasSem4[[#This Row],[Subtotal]]*(1-VendasSem4[[#This Row],[Desconto]])+VendasSem4[[#This Row],[Valor de Entrega]])</f>
        <v>3.4499999999999997</v>
      </c>
      <c r="M284" s="6" t="str">
        <f>IF(VendasSem4[[#This Row],[Id da Venda]]=B285,"",SUMIF(VendasSem4[Id da Venda],VendasSem4[[#This Row],[Id da Venda]],VendasSem4[Total]))</f>
        <v/>
      </c>
    </row>
    <row r="285" spans="2:13" x14ac:dyDescent="0.25">
      <c r="B285">
        <v>69</v>
      </c>
      <c r="C285" s="7">
        <v>45191</v>
      </c>
      <c r="D285" t="s">
        <v>32</v>
      </c>
      <c r="E285" t="str">
        <f>IFERROR(VLOOKUP(VendasSem4[[#This Row],[Produto]],cálculos!$I$3:$L$50,4,0),"")</f>
        <v>Kg</v>
      </c>
      <c r="F285">
        <v>1</v>
      </c>
      <c r="G285" s="6">
        <f>IFERROR(VLOOKUP(VendasSem4[[#This Row],[Produto]],cálculos!$I$3:$L$50,3,0),0)</f>
        <v>2.4900000000000002</v>
      </c>
      <c r="H285" s="6">
        <f>IFERROR(VendasSem4[[#This Row],[Quantidade]]*VendasSem4[[#This Row],[Preço Unitário]],0)</f>
        <v>2.4900000000000002</v>
      </c>
      <c r="I285" s="11"/>
      <c r="J285" t="s">
        <v>108</v>
      </c>
      <c r="K285" s="6">
        <f>IFERROR(IF(VendasSem4[[#This Row],[Id da Venda]]=B286,0,VLOOKUP(VendasSem4[[#This Row],[Região de Entrega]],cálculos!$B$5:$C$9,2,0)),0)</f>
        <v>0</v>
      </c>
      <c r="L285" s="6">
        <f>(VendasSem4[[#This Row],[Subtotal]]*(1-VendasSem4[[#This Row],[Desconto]])+VendasSem4[[#This Row],[Valor de Entrega]])</f>
        <v>2.4900000000000002</v>
      </c>
      <c r="M285" s="6" t="str">
        <f>IF(VendasSem4[[#This Row],[Id da Venda]]=B286,"",SUMIF(VendasSem4[Id da Venda],VendasSem4[[#This Row],[Id da Venda]],VendasSem4[Total]))</f>
        <v/>
      </c>
    </row>
    <row r="286" spans="2:13" x14ac:dyDescent="0.25">
      <c r="B286">
        <v>69</v>
      </c>
      <c r="C286" s="7">
        <v>45191</v>
      </c>
      <c r="D286" t="s">
        <v>56</v>
      </c>
      <c r="E286" t="str">
        <f>IFERROR(VLOOKUP(VendasSem4[[#This Row],[Produto]],cálculos!$I$3:$L$50,4,0),"")</f>
        <v>Pacote</v>
      </c>
      <c r="F286">
        <v>1</v>
      </c>
      <c r="G286" s="6">
        <f>IFERROR(VLOOKUP(VendasSem4[[#This Row],[Produto]],cálculos!$I$3:$L$50,3,0),0)</f>
        <v>1.99</v>
      </c>
      <c r="H286" s="6">
        <f>IFERROR(VendasSem4[[#This Row],[Quantidade]]*VendasSem4[[#This Row],[Preço Unitário]],0)</f>
        <v>1.99</v>
      </c>
      <c r="I286" s="11"/>
      <c r="J286" t="s">
        <v>108</v>
      </c>
      <c r="K286" s="6">
        <f>IFERROR(IF(VendasSem4[[#This Row],[Id da Venda]]=B287,0,VLOOKUP(VendasSem4[[#This Row],[Região de Entrega]],cálculos!$B$5:$C$9,2,0)),0)</f>
        <v>0</v>
      </c>
      <c r="L286" s="6">
        <f>(VendasSem4[[#This Row],[Subtotal]]*(1-VendasSem4[[#This Row],[Desconto]])+VendasSem4[[#This Row],[Valor de Entrega]])</f>
        <v>1.99</v>
      </c>
      <c r="M286" s="6" t="str">
        <f>IF(VendasSem4[[#This Row],[Id da Venda]]=B287,"",SUMIF(VendasSem4[Id da Venda],VendasSem4[[#This Row],[Id da Venda]],VendasSem4[Total]))</f>
        <v/>
      </c>
    </row>
    <row r="287" spans="2:13" x14ac:dyDescent="0.25">
      <c r="B287">
        <v>69</v>
      </c>
      <c r="C287" s="7">
        <v>45191</v>
      </c>
      <c r="D287" t="s">
        <v>122</v>
      </c>
      <c r="E287" t="str">
        <f>IFERROR(VLOOKUP(VendasSem4[[#This Row],[Produto]],cálculos!$I$3:$L$50,4,0),"")</f>
        <v>Kg</v>
      </c>
      <c r="F287">
        <v>1</v>
      </c>
      <c r="G287" s="6">
        <f>IFERROR(VLOOKUP(VendasSem4[[#This Row],[Produto]],cálculos!$I$3:$L$50,3,0),0)</f>
        <v>7</v>
      </c>
      <c r="H287" s="6">
        <f>IFERROR(VendasSem4[[#This Row],[Quantidade]]*VendasSem4[[#This Row],[Preço Unitário]],0)</f>
        <v>7</v>
      </c>
      <c r="I287" s="11"/>
      <c r="J287" t="s">
        <v>108</v>
      </c>
      <c r="K287" s="6">
        <f>IFERROR(IF(VendasSem4[[#This Row],[Id da Venda]]=B288,0,VLOOKUP(VendasSem4[[#This Row],[Região de Entrega]],cálculos!$B$5:$C$9,2,0)),0)</f>
        <v>0</v>
      </c>
      <c r="L287" s="6">
        <f>(VendasSem4[[#This Row],[Subtotal]]*(1-VendasSem4[[#This Row],[Desconto]])+VendasSem4[[#This Row],[Valor de Entrega]])</f>
        <v>7</v>
      </c>
      <c r="M287" s="6" t="str">
        <f>IF(VendasSem4[[#This Row],[Id da Venda]]=B288,"",SUMIF(VendasSem4[Id da Venda],VendasSem4[[#This Row],[Id da Venda]],VendasSem4[Total]))</f>
        <v/>
      </c>
    </row>
    <row r="288" spans="2:13" x14ac:dyDescent="0.25">
      <c r="B288">
        <v>69</v>
      </c>
      <c r="C288" s="7">
        <v>45191</v>
      </c>
      <c r="D288" t="s">
        <v>59</v>
      </c>
      <c r="E288" t="str">
        <f>IFERROR(VLOOKUP(VendasSem4[[#This Row],[Produto]],cálculos!$I$3:$L$50,4,0),"")</f>
        <v>Pacote</v>
      </c>
      <c r="F288">
        <v>4</v>
      </c>
      <c r="G288" s="6">
        <f>IFERROR(VLOOKUP(VendasSem4[[#This Row],[Produto]],cálculos!$I$3:$L$50,3,0),0)</f>
        <v>1.1499999999999999</v>
      </c>
      <c r="H288" s="6">
        <f>IFERROR(VendasSem4[[#This Row],[Quantidade]]*VendasSem4[[#This Row],[Preço Unitário]],0)</f>
        <v>4.5999999999999996</v>
      </c>
      <c r="I288" s="11"/>
      <c r="J288" t="s">
        <v>108</v>
      </c>
      <c r="K288" s="6">
        <f>IFERROR(IF(VendasSem4[[#This Row],[Id da Venda]]=B289,0,VLOOKUP(VendasSem4[[#This Row],[Região de Entrega]],cálculos!$B$5:$C$9,2,0)),0)</f>
        <v>0</v>
      </c>
      <c r="L288" s="6">
        <f>(VendasSem4[[#This Row],[Subtotal]]*(1-VendasSem4[[#This Row],[Desconto]])+VendasSem4[[#This Row],[Valor de Entrega]])</f>
        <v>4.5999999999999996</v>
      </c>
      <c r="M288" s="6" t="str">
        <f>IF(VendasSem4[[#This Row],[Id da Venda]]=B289,"",SUMIF(VendasSem4[Id da Venda],VendasSem4[[#This Row],[Id da Venda]],VendasSem4[Total]))</f>
        <v/>
      </c>
    </row>
    <row r="289" spans="2:13" x14ac:dyDescent="0.25">
      <c r="B289">
        <v>69</v>
      </c>
      <c r="C289" s="7">
        <v>45191</v>
      </c>
      <c r="D289" t="s">
        <v>119</v>
      </c>
      <c r="E289" t="str">
        <f>IFERROR(VLOOKUP(VendasSem4[[#This Row],[Produto]],cálculos!$I$3:$L$50,4,0),"")</f>
        <v>Kg</v>
      </c>
      <c r="F289">
        <v>5</v>
      </c>
      <c r="G289" s="6">
        <f>IFERROR(VLOOKUP(VendasSem4[[#This Row],[Produto]],cálculos!$I$3:$L$50,3,0),0)</f>
        <v>6.8</v>
      </c>
      <c r="H289" s="6">
        <f>IFERROR(VendasSem4[[#This Row],[Quantidade]]*VendasSem4[[#This Row],[Preço Unitário]],0)</f>
        <v>34</v>
      </c>
      <c r="I289" s="11"/>
      <c r="J289" t="s">
        <v>108</v>
      </c>
      <c r="K289" s="6">
        <f>IFERROR(IF(VendasSem4[[#This Row],[Id da Venda]]=B290,0,VLOOKUP(VendasSem4[[#This Row],[Região de Entrega]],cálculos!$B$5:$C$9,2,0)),0)</f>
        <v>0</v>
      </c>
      <c r="L289" s="6">
        <f>(VendasSem4[[#This Row],[Subtotal]]*(1-VendasSem4[[#This Row],[Desconto]])+VendasSem4[[#This Row],[Valor de Entrega]])</f>
        <v>34</v>
      </c>
      <c r="M289" s="6" t="str">
        <f>IF(VendasSem4[[#This Row],[Id da Venda]]=B290,"",SUMIF(VendasSem4[Id da Venda],VendasSem4[[#This Row],[Id da Venda]],VendasSem4[Total]))</f>
        <v/>
      </c>
    </row>
    <row r="290" spans="2:13" x14ac:dyDescent="0.25">
      <c r="B290">
        <v>69</v>
      </c>
      <c r="C290" s="7">
        <v>45191</v>
      </c>
      <c r="D290" t="s">
        <v>118</v>
      </c>
      <c r="E290" t="str">
        <f>IFERROR(VLOOKUP(VendasSem4[[#This Row],[Produto]],cálculos!$I$3:$L$50,4,0),"")</f>
        <v>Kg</v>
      </c>
      <c r="F290">
        <v>1</v>
      </c>
      <c r="G290" s="6">
        <f>IFERROR(VLOOKUP(VendasSem4[[#This Row],[Produto]],cálculos!$I$3:$L$50,3,0),0)</f>
        <v>4</v>
      </c>
      <c r="H290" s="6">
        <f>IFERROR(VendasSem4[[#This Row],[Quantidade]]*VendasSem4[[#This Row],[Preço Unitário]],0)</f>
        <v>4</v>
      </c>
      <c r="I290" s="11"/>
      <c r="J290" t="s">
        <v>108</v>
      </c>
      <c r="K290" s="6">
        <f>IFERROR(IF(VendasSem4[[#This Row],[Id da Venda]]=B291,0,VLOOKUP(VendasSem4[[#This Row],[Região de Entrega]],cálculos!$B$5:$C$9,2,0)),0)</f>
        <v>0</v>
      </c>
      <c r="L290" s="6">
        <f>(VendasSem4[[#This Row],[Subtotal]]*(1-VendasSem4[[#This Row],[Desconto]])+VendasSem4[[#This Row],[Valor de Entrega]])</f>
        <v>4</v>
      </c>
      <c r="M290" s="6" t="str">
        <f>IF(VendasSem4[[#This Row],[Id da Venda]]=B291,"",SUMIF(VendasSem4[Id da Venda],VendasSem4[[#This Row],[Id da Venda]],VendasSem4[Total]))</f>
        <v/>
      </c>
    </row>
    <row r="291" spans="2:13" x14ac:dyDescent="0.25">
      <c r="B291">
        <v>69</v>
      </c>
      <c r="C291" s="7">
        <v>45191</v>
      </c>
      <c r="D291" t="s">
        <v>48</v>
      </c>
      <c r="E291" t="str">
        <f>IFERROR(VLOOKUP(VendasSem4[[#This Row],[Produto]],cálculos!$I$3:$L$50,4,0),"")</f>
        <v>Pacote</v>
      </c>
      <c r="F291">
        <v>6</v>
      </c>
      <c r="G291" s="6">
        <f>IFERROR(VLOOKUP(VendasSem4[[#This Row],[Produto]],cálculos!$I$3:$L$50,3,0),0)</f>
        <v>0.79</v>
      </c>
      <c r="H291" s="6">
        <f>IFERROR(VendasSem4[[#This Row],[Quantidade]]*VendasSem4[[#This Row],[Preço Unitário]],0)</f>
        <v>4.74</v>
      </c>
      <c r="I291" s="11"/>
      <c r="J291" t="s">
        <v>108</v>
      </c>
      <c r="K291" s="6">
        <f>IFERROR(IF(VendasSem4[[#This Row],[Id da Venda]]=B292,0,VLOOKUP(VendasSem4[[#This Row],[Região de Entrega]],cálculos!$B$5:$C$9,2,0)),0)</f>
        <v>0</v>
      </c>
      <c r="L291" s="6">
        <f>(VendasSem4[[#This Row],[Subtotal]]*(1-VendasSem4[[#This Row],[Desconto]])+VendasSem4[[#This Row],[Valor de Entrega]])</f>
        <v>4.74</v>
      </c>
      <c r="M291" s="6" t="str">
        <f>IF(VendasSem4[[#This Row],[Id da Venda]]=B292,"",SUMIF(VendasSem4[Id da Venda],VendasSem4[[#This Row],[Id da Venda]],VendasSem4[Total]))</f>
        <v/>
      </c>
    </row>
    <row r="292" spans="2:13" x14ac:dyDescent="0.25">
      <c r="B292">
        <v>69</v>
      </c>
      <c r="C292" s="7">
        <v>45191</v>
      </c>
      <c r="D292" t="s">
        <v>36</v>
      </c>
      <c r="E292" t="str">
        <f>IFERROR(VLOOKUP(VendasSem4[[#This Row],[Produto]],cálculos!$I$3:$L$50,4,0),"")</f>
        <v>Kg</v>
      </c>
      <c r="F292">
        <v>7</v>
      </c>
      <c r="G292" s="6">
        <f>IFERROR(VLOOKUP(VendasSem4[[#This Row],[Produto]],cálculos!$I$3:$L$50,3,0),0)</f>
        <v>15.9</v>
      </c>
      <c r="H292" s="6">
        <f>IFERROR(VendasSem4[[#This Row],[Quantidade]]*VendasSem4[[#This Row],[Preço Unitário]],0)</f>
        <v>111.3</v>
      </c>
      <c r="I292" s="11"/>
      <c r="J292" t="s">
        <v>108</v>
      </c>
      <c r="K292" s="6">
        <f>IFERROR(IF(VendasSem4[[#This Row],[Id da Venda]]=B293,0,VLOOKUP(VendasSem4[[#This Row],[Região de Entrega]],cálculos!$B$5:$C$9,2,0)),0)</f>
        <v>0</v>
      </c>
      <c r="L292" s="6">
        <f>(VendasSem4[[#This Row],[Subtotal]]*(1-VendasSem4[[#This Row],[Desconto]])+VendasSem4[[#This Row],[Valor de Entrega]])</f>
        <v>111.3</v>
      </c>
      <c r="M292" s="6" t="str">
        <f>IF(VendasSem4[[#This Row],[Id da Venda]]=B293,"",SUMIF(VendasSem4[Id da Venda],VendasSem4[[#This Row],[Id da Venda]],VendasSem4[Total]))</f>
        <v/>
      </c>
    </row>
    <row r="293" spans="2:13" x14ac:dyDescent="0.25">
      <c r="B293">
        <v>69</v>
      </c>
      <c r="C293" s="7">
        <v>45191</v>
      </c>
      <c r="D293" t="s">
        <v>42</v>
      </c>
      <c r="E293" t="str">
        <f>IFERROR(VLOOKUP(VendasSem4[[#This Row],[Produto]],cálculos!$I$3:$L$50,4,0),"")</f>
        <v>Kg</v>
      </c>
      <c r="F293">
        <v>3</v>
      </c>
      <c r="G293" s="6">
        <f>IFERROR(VLOOKUP(VendasSem4[[#This Row],[Produto]],cálculos!$I$3:$L$50,3,0),0)</f>
        <v>3.99</v>
      </c>
      <c r="H293" s="6">
        <f>IFERROR(VendasSem4[[#This Row],[Quantidade]]*VendasSem4[[#This Row],[Preço Unitário]],0)</f>
        <v>11.97</v>
      </c>
      <c r="I293" s="11"/>
      <c r="J293" t="s">
        <v>108</v>
      </c>
      <c r="K293" s="6">
        <f>IFERROR(IF(VendasSem4[[#This Row],[Id da Venda]]=B294,0,VLOOKUP(VendasSem4[[#This Row],[Região de Entrega]],cálculos!$B$5:$C$9,2,0)),0)</f>
        <v>0</v>
      </c>
      <c r="L293" s="6">
        <f>(VendasSem4[[#This Row],[Subtotal]]*(1-VendasSem4[[#This Row],[Desconto]])+VendasSem4[[#This Row],[Valor de Entrega]])</f>
        <v>11.97</v>
      </c>
      <c r="M293" s="6" t="str">
        <f>IF(VendasSem4[[#This Row],[Id da Venda]]=B294,"",SUMIF(VendasSem4[Id da Venda],VendasSem4[[#This Row],[Id da Venda]],VendasSem4[Total]))</f>
        <v/>
      </c>
    </row>
    <row r="294" spans="2:13" x14ac:dyDescent="0.25">
      <c r="B294">
        <v>69</v>
      </c>
      <c r="C294" s="7">
        <v>45191</v>
      </c>
      <c r="D294" t="s">
        <v>45</v>
      </c>
      <c r="E294" t="str">
        <f>IFERROR(VLOOKUP(VendasSem4[[#This Row],[Produto]],cálculos!$I$3:$L$50,4,0),"")</f>
        <v>Lata</v>
      </c>
      <c r="F294">
        <v>5</v>
      </c>
      <c r="G294" s="6">
        <f>IFERROR(VLOOKUP(VendasSem4[[#This Row],[Produto]],cálculos!$I$3:$L$50,3,0),0)</f>
        <v>2.19</v>
      </c>
      <c r="H294" s="6">
        <f>IFERROR(VendasSem4[[#This Row],[Quantidade]]*VendasSem4[[#This Row],[Preço Unitário]],0)</f>
        <v>10.95</v>
      </c>
      <c r="I294" s="11"/>
      <c r="J294" t="s">
        <v>108</v>
      </c>
      <c r="K294" s="6">
        <f>IFERROR(IF(VendasSem4[[#This Row],[Id da Venda]]=B295,0,VLOOKUP(VendasSem4[[#This Row],[Região de Entrega]],cálculos!$B$5:$C$9,2,0)),0)</f>
        <v>0</v>
      </c>
      <c r="L294" s="6">
        <f>(VendasSem4[[#This Row],[Subtotal]]*(1-VendasSem4[[#This Row],[Desconto]])+VendasSem4[[#This Row],[Valor de Entrega]])</f>
        <v>10.95</v>
      </c>
      <c r="M294" s="6" t="str">
        <f>IF(VendasSem4[[#This Row],[Id da Venda]]=B295,"",SUMIF(VendasSem4[Id da Venda],VendasSem4[[#This Row],[Id da Venda]],VendasSem4[Total]))</f>
        <v/>
      </c>
    </row>
    <row r="295" spans="2:13" x14ac:dyDescent="0.25">
      <c r="B295">
        <v>69</v>
      </c>
      <c r="C295" s="7">
        <v>45191</v>
      </c>
      <c r="D295" t="s">
        <v>57</v>
      </c>
      <c r="E295" t="str">
        <f>IFERROR(VLOOKUP(VendasSem4[[#This Row],[Produto]],cálculos!$I$3:$L$50,4,0),"")</f>
        <v>Barra</v>
      </c>
      <c r="F295">
        <v>4</v>
      </c>
      <c r="G295" s="6">
        <f>IFERROR(VLOOKUP(VendasSem4[[#This Row],[Produto]],cálculos!$I$3:$L$50,3,0),0)</f>
        <v>4.99</v>
      </c>
      <c r="H295" s="6">
        <f>IFERROR(VendasSem4[[#This Row],[Quantidade]]*VendasSem4[[#This Row],[Preço Unitário]],0)</f>
        <v>19.96</v>
      </c>
      <c r="I295" s="11"/>
      <c r="J295" t="s">
        <v>108</v>
      </c>
      <c r="K295" s="6">
        <f>IFERROR(IF(VendasSem4[[#This Row],[Id da Venda]]=B296,0,VLOOKUP(VendasSem4[[#This Row],[Região de Entrega]],cálculos!$B$5:$C$9,2,0)),0)</f>
        <v>0</v>
      </c>
      <c r="L295" s="6">
        <f>(VendasSem4[[#This Row],[Subtotal]]*(1-VendasSem4[[#This Row],[Desconto]])+VendasSem4[[#This Row],[Valor de Entrega]])</f>
        <v>19.96</v>
      </c>
      <c r="M295" s="6" t="str">
        <f>IF(VendasSem4[[#This Row],[Id da Venda]]=B296,"",SUMIF(VendasSem4[Id da Venda],VendasSem4[[#This Row],[Id da Venda]],VendasSem4[Total]))</f>
        <v/>
      </c>
    </row>
    <row r="296" spans="2:13" x14ac:dyDescent="0.25">
      <c r="B296">
        <v>69</v>
      </c>
      <c r="C296" s="7">
        <v>45191</v>
      </c>
      <c r="D296" t="s">
        <v>58</v>
      </c>
      <c r="E296" t="str">
        <f>IFERROR(VLOOKUP(VendasSem4[[#This Row],[Produto]],cálculos!$I$3:$L$50,4,0),"")</f>
        <v>Maço</v>
      </c>
      <c r="F296">
        <v>2</v>
      </c>
      <c r="G296" s="6">
        <f>IFERROR(VLOOKUP(VendasSem4[[#This Row],[Produto]],cálculos!$I$3:$L$50,3,0),0)</f>
        <v>6.75</v>
      </c>
      <c r="H296" s="6">
        <f>IFERROR(VendasSem4[[#This Row],[Quantidade]]*VendasSem4[[#This Row],[Preço Unitário]],0)</f>
        <v>13.5</v>
      </c>
      <c r="I296" s="11"/>
      <c r="J296" t="s">
        <v>108</v>
      </c>
      <c r="K296" s="6">
        <f>IFERROR(IF(VendasSem4[[#This Row],[Id da Venda]]=B297,0,VLOOKUP(VendasSem4[[#This Row],[Região de Entrega]],cálculos!$B$5:$C$9,2,0)),0)</f>
        <v>0</v>
      </c>
      <c r="L296" s="6">
        <f>(VendasSem4[[#This Row],[Subtotal]]*(1-VendasSem4[[#This Row],[Desconto]])+VendasSem4[[#This Row],[Valor de Entrega]])</f>
        <v>13.5</v>
      </c>
      <c r="M296" s="6" t="str">
        <f>IF(VendasSem4[[#This Row],[Id da Venda]]=B297,"",SUMIF(VendasSem4[Id da Venda],VendasSem4[[#This Row],[Id da Venda]],VendasSem4[Total]))</f>
        <v/>
      </c>
    </row>
    <row r="297" spans="2:13" x14ac:dyDescent="0.25">
      <c r="B297">
        <v>69</v>
      </c>
      <c r="C297" s="7">
        <v>45191</v>
      </c>
      <c r="D297" t="s">
        <v>47</v>
      </c>
      <c r="E297" t="str">
        <f>IFERROR(VLOOKUP(VendasSem4[[#This Row],[Produto]],cálculos!$I$3:$L$50,4,0),"")</f>
        <v>Unidade</v>
      </c>
      <c r="F297">
        <v>1</v>
      </c>
      <c r="G297" s="6">
        <f>IFERROR(VLOOKUP(VendasSem4[[#This Row],[Produto]],cálculos!$I$3:$L$50,3,0),0)</f>
        <v>2.6</v>
      </c>
      <c r="H297" s="6">
        <f>IFERROR(VendasSem4[[#This Row],[Quantidade]]*VendasSem4[[#This Row],[Preço Unitário]],0)</f>
        <v>2.6</v>
      </c>
      <c r="I297" s="11"/>
      <c r="J297" t="s">
        <v>108</v>
      </c>
      <c r="K297" s="6">
        <f>IFERROR(IF(VendasSem4[[#This Row],[Id da Venda]]=B298,0,VLOOKUP(VendasSem4[[#This Row],[Região de Entrega]],cálculos!$B$5:$C$9,2,0)),0)</f>
        <v>0</v>
      </c>
      <c r="L297" s="6">
        <f>(VendasSem4[[#This Row],[Subtotal]]*(1-VendasSem4[[#This Row],[Desconto]])+VendasSem4[[#This Row],[Valor de Entrega]])</f>
        <v>2.6</v>
      </c>
      <c r="M297" s="6" t="str">
        <f>IF(VendasSem4[[#This Row],[Id da Venda]]=B298,"",SUMIF(VendasSem4[Id da Venda],VendasSem4[[#This Row],[Id da Venda]],VendasSem4[Total]))</f>
        <v/>
      </c>
    </row>
    <row r="298" spans="2:13" x14ac:dyDescent="0.25">
      <c r="B298">
        <v>69</v>
      </c>
      <c r="C298" s="7">
        <v>45191</v>
      </c>
      <c r="D298" t="s">
        <v>137</v>
      </c>
      <c r="E298" t="str">
        <f>IFERROR(VLOOKUP(VendasSem4[[#This Row],[Produto]],cálculos!$I$3:$L$50,4,0),"")</f>
        <v>Kg</v>
      </c>
      <c r="F298">
        <v>1</v>
      </c>
      <c r="G298" s="6">
        <f>IFERROR(VLOOKUP(VendasSem4[[#This Row],[Produto]],cálculos!$I$3:$L$50,3,0),0)</f>
        <v>7</v>
      </c>
      <c r="H298" s="6">
        <f>IFERROR(VendasSem4[[#This Row],[Quantidade]]*VendasSem4[[#This Row],[Preço Unitário]],0)</f>
        <v>7</v>
      </c>
      <c r="I298" s="11"/>
      <c r="J298" t="s">
        <v>108</v>
      </c>
      <c r="K298" s="6">
        <f>IFERROR(IF(VendasSem4[[#This Row],[Id da Venda]]=B299,0,VLOOKUP(VendasSem4[[#This Row],[Região de Entrega]],cálculos!$B$5:$C$9,2,0)),0)</f>
        <v>0</v>
      </c>
      <c r="L298" s="6">
        <f>(VendasSem4[[#This Row],[Subtotal]]*(1-VendasSem4[[#This Row],[Desconto]])+VendasSem4[[#This Row],[Valor de Entrega]])</f>
        <v>7</v>
      </c>
      <c r="M298" s="6" t="str">
        <f>IF(VendasSem4[[#This Row],[Id da Venda]]=B299,"",SUMIF(VendasSem4[Id da Venda],VendasSem4[[#This Row],[Id da Venda]],VendasSem4[Total]))</f>
        <v/>
      </c>
    </row>
    <row r="299" spans="2:13" x14ac:dyDescent="0.25">
      <c r="B299">
        <v>69</v>
      </c>
      <c r="C299" s="7">
        <v>45191</v>
      </c>
      <c r="D299" t="s">
        <v>125</v>
      </c>
      <c r="E299" t="str">
        <f>IFERROR(VLOOKUP(VendasSem4[[#This Row],[Produto]],cálculos!$I$3:$L$50,4,0),"")</f>
        <v>Unidade</v>
      </c>
      <c r="F299">
        <v>1</v>
      </c>
      <c r="G299" s="6">
        <f>IFERROR(VLOOKUP(VendasSem4[[#This Row],[Produto]],cálculos!$I$3:$L$50,3,0),0)</f>
        <v>4.5</v>
      </c>
      <c r="H299" s="6">
        <f>IFERROR(VendasSem4[[#This Row],[Quantidade]]*VendasSem4[[#This Row],[Preço Unitário]],0)</f>
        <v>4.5</v>
      </c>
      <c r="I299" s="11"/>
      <c r="J299" t="s">
        <v>108</v>
      </c>
      <c r="K299" s="6">
        <f>IFERROR(IF(VendasSem4[[#This Row],[Id da Venda]]=B300,0,VLOOKUP(VendasSem4[[#This Row],[Região de Entrega]],cálculos!$B$5:$C$9,2,0)),0)</f>
        <v>10</v>
      </c>
      <c r="L299" s="6">
        <f>(VendasSem4[[#This Row],[Subtotal]]*(1-VendasSem4[[#This Row],[Desconto]])+VendasSem4[[#This Row],[Valor de Entrega]])</f>
        <v>14.5</v>
      </c>
      <c r="M299" s="6">
        <f>IF(VendasSem4[[#This Row],[Id da Venda]]=B300,"",SUMIF(VendasSem4[Id da Venda],VendasSem4[[#This Row],[Id da Venda]],VendasSem4[Total]))</f>
        <v>274.83</v>
      </c>
    </row>
    <row r="300" spans="2:13" x14ac:dyDescent="0.25">
      <c r="B300">
        <v>70</v>
      </c>
      <c r="C300" s="7">
        <v>45191</v>
      </c>
      <c r="D300" t="s">
        <v>130</v>
      </c>
      <c r="E300" t="str">
        <f>IFERROR(VLOOKUP(VendasSem4[[#This Row],[Produto]],cálculos!$I$3:$L$50,4,0),"")</f>
        <v>Kg</v>
      </c>
      <c r="F300">
        <v>1</v>
      </c>
      <c r="G300" s="6">
        <f>IFERROR(VLOOKUP(VendasSem4[[#This Row],[Produto]],cálculos!$I$3:$L$50,3,0),0)</f>
        <v>2.8</v>
      </c>
      <c r="H300" s="6">
        <f>IFERROR(VendasSem4[[#This Row],[Quantidade]]*VendasSem4[[#This Row],[Preço Unitário]],0)</f>
        <v>2.8</v>
      </c>
      <c r="I300" s="11"/>
      <c r="J300" t="s">
        <v>111</v>
      </c>
      <c r="K300" s="6">
        <f>IFERROR(IF(VendasSem4[[#This Row],[Id da Venda]]=B301,0,VLOOKUP(VendasSem4[[#This Row],[Região de Entrega]],cálculos!$B$5:$C$9,2,0)),0)</f>
        <v>0</v>
      </c>
      <c r="L300" s="6">
        <f>(VendasSem4[[#This Row],[Subtotal]]*(1-VendasSem4[[#This Row],[Desconto]])+VendasSem4[[#This Row],[Valor de Entrega]])</f>
        <v>2.8</v>
      </c>
      <c r="M300" s="6" t="str">
        <f>IF(VendasSem4[[#This Row],[Id da Venda]]=B301,"",SUMIF(VendasSem4[Id da Venda],VendasSem4[[#This Row],[Id da Venda]],VendasSem4[Total]))</f>
        <v/>
      </c>
    </row>
    <row r="301" spans="2:13" x14ac:dyDescent="0.25">
      <c r="B301">
        <v>70</v>
      </c>
      <c r="C301" s="7">
        <v>45191</v>
      </c>
      <c r="D301" t="s">
        <v>35</v>
      </c>
      <c r="E301" t="str">
        <f>IFERROR(VLOOKUP(VendasSem4[[#This Row],[Produto]],cálculos!$I$3:$L$50,4,0),"")</f>
        <v>Unidade</v>
      </c>
      <c r="F301">
        <v>2</v>
      </c>
      <c r="G301" s="6">
        <f>IFERROR(VLOOKUP(VendasSem4[[#This Row],[Produto]],cálculos!$I$3:$L$50,3,0),0)</f>
        <v>2.99</v>
      </c>
      <c r="H301" s="6">
        <f>IFERROR(VendasSem4[[#This Row],[Quantidade]]*VendasSem4[[#This Row],[Preço Unitário]],0)</f>
        <v>5.98</v>
      </c>
      <c r="I301" s="11"/>
      <c r="J301" t="s">
        <v>111</v>
      </c>
      <c r="K301" s="6">
        <f>IFERROR(IF(VendasSem4[[#This Row],[Id da Venda]]=B302,0,VLOOKUP(VendasSem4[[#This Row],[Região de Entrega]],cálculos!$B$5:$C$9,2,0)),0)</f>
        <v>0</v>
      </c>
      <c r="L301" s="6">
        <f>(VendasSem4[[#This Row],[Subtotal]]*(1-VendasSem4[[#This Row],[Desconto]])+VendasSem4[[#This Row],[Valor de Entrega]])</f>
        <v>5.98</v>
      </c>
      <c r="M301" s="6" t="str">
        <f>IF(VendasSem4[[#This Row],[Id da Venda]]=B302,"",SUMIF(VendasSem4[Id da Venda],VendasSem4[[#This Row],[Id da Venda]],VendasSem4[Total]))</f>
        <v/>
      </c>
    </row>
    <row r="302" spans="2:13" x14ac:dyDescent="0.25">
      <c r="B302">
        <v>70</v>
      </c>
      <c r="C302" s="7">
        <v>45191</v>
      </c>
      <c r="D302" t="s">
        <v>121</v>
      </c>
      <c r="E302" t="str">
        <f>IFERROR(VLOOKUP(VendasSem4[[#This Row],[Produto]],cálculos!$I$3:$L$50,4,0),"")</f>
        <v>Kg</v>
      </c>
      <c r="F302">
        <v>1</v>
      </c>
      <c r="G302" s="6">
        <f>IFERROR(VLOOKUP(VendasSem4[[#This Row],[Produto]],cálculos!$I$3:$L$50,3,0),0)</f>
        <v>12</v>
      </c>
      <c r="H302" s="6">
        <f>IFERROR(VendasSem4[[#This Row],[Quantidade]]*VendasSem4[[#This Row],[Preço Unitário]],0)</f>
        <v>12</v>
      </c>
      <c r="I302" s="11"/>
      <c r="J302" t="s">
        <v>111</v>
      </c>
      <c r="K302" s="6">
        <f>IFERROR(IF(VendasSem4[[#This Row],[Id da Venda]]=B303,0,VLOOKUP(VendasSem4[[#This Row],[Região de Entrega]],cálculos!$B$5:$C$9,2,0)),0)</f>
        <v>0</v>
      </c>
      <c r="L302" s="6">
        <f>(VendasSem4[[#This Row],[Subtotal]]*(1-VendasSem4[[#This Row],[Desconto]])+VendasSem4[[#This Row],[Valor de Entrega]])</f>
        <v>12</v>
      </c>
      <c r="M302" s="6" t="str">
        <f>IF(VendasSem4[[#This Row],[Id da Venda]]=B303,"",SUMIF(VendasSem4[Id da Venda],VendasSem4[[#This Row],[Id da Venda]],VendasSem4[Total]))</f>
        <v/>
      </c>
    </row>
    <row r="303" spans="2:13" x14ac:dyDescent="0.25">
      <c r="B303">
        <v>70</v>
      </c>
      <c r="C303" s="7">
        <v>45191</v>
      </c>
      <c r="D303" t="s">
        <v>44</v>
      </c>
      <c r="E303" t="str">
        <f>IFERROR(VLOOKUP(VendasSem4[[#This Row],[Produto]],cálculos!$I$3:$L$50,4,0),"")</f>
        <v>Pacote</v>
      </c>
      <c r="F303">
        <v>1</v>
      </c>
      <c r="G303" s="6">
        <f>IFERROR(VLOOKUP(VendasSem4[[#This Row],[Produto]],cálculos!$I$3:$L$50,3,0),0)</f>
        <v>1.1499999999999999</v>
      </c>
      <c r="H303" s="6">
        <f>IFERROR(VendasSem4[[#This Row],[Quantidade]]*VendasSem4[[#This Row],[Preço Unitário]],0)</f>
        <v>1.1499999999999999</v>
      </c>
      <c r="I303" s="11"/>
      <c r="J303" t="s">
        <v>111</v>
      </c>
      <c r="K303" s="6">
        <f>IFERROR(IF(VendasSem4[[#This Row],[Id da Venda]]=B304,0,VLOOKUP(VendasSem4[[#This Row],[Região de Entrega]],cálculos!$B$5:$C$9,2,0)),0)</f>
        <v>0</v>
      </c>
      <c r="L303" s="6">
        <f>(VendasSem4[[#This Row],[Subtotal]]*(1-VendasSem4[[#This Row],[Desconto]])+VendasSem4[[#This Row],[Valor de Entrega]])</f>
        <v>1.1499999999999999</v>
      </c>
      <c r="M303" s="6" t="str">
        <f>IF(VendasSem4[[#This Row],[Id da Venda]]=B304,"",SUMIF(VendasSem4[Id da Venda],VendasSem4[[#This Row],[Id da Venda]],VendasSem4[Total]))</f>
        <v/>
      </c>
    </row>
    <row r="304" spans="2:13" x14ac:dyDescent="0.25">
      <c r="B304">
        <v>70</v>
      </c>
      <c r="C304" s="7">
        <v>45191</v>
      </c>
      <c r="D304" t="s">
        <v>32</v>
      </c>
      <c r="E304" t="str">
        <f>IFERROR(VLOOKUP(VendasSem4[[#This Row],[Produto]],cálculos!$I$3:$L$50,4,0),"")</f>
        <v>Kg</v>
      </c>
      <c r="F304">
        <v>1</v>
      </c>
      <c r="G304" s="6">
        <f>IFERROR(VLOOKUP(VendasSem4[[#This Row],[Produto]],cálculos!$I$3:$L$50,3,0),0)</f>
        <v>2.4900000000000002</v>
      </c>
      <c r="H304" s="6">
        <f>IFERROR(VendasSem4[[#This Row],[Quantidade]]*VendasSem4[[#This Row],[Preço Unitário]],0)</f>
        <v>2.4900000000000002</v>
      </c>
      <c r="I304" s="11"/>
      <c r="J304" t="s">
        <v>111</v>
      </c>
      <c r="K304" s="6">
        <f>IFERROR(IF(VendasSem4[[#This Row],[Id da Venda]]=B305,0,VLOOKUP(VendasSem4[[#This Row],[Região de Entrega]],cálculos!$B$5:$C$9,2,0)),0)</f>
        <v>0</v>
      </c>
      <c r="L304" s="6">
        <f>(VendasSem4[[#This Row],[Subtotal]]*(1-VendasSem4[[#This Row],[Desconto]])+VendasSem4[[#This Row],[Valor de Entrega]])</f>
        <v>2.4900000000000002</v>
      </c>
      <c r="M304" s="6" t="str">
        <f>IF(VendasSem4[[#This Row],[Id da Venda]]=B305,"",SUMIF(VendasSem4[Id da Venda],VendasSem4[[#This Row],[Id da Venda]],VendasSem4[Total]))</f>
        <v/>
      </c>
    </row>
    <row r="305" spans="2:13" x14ac:dyDescent="0.25">
      <c r="B305">
        <v>70</v>
      </c>
      <c r="C305" s="7">
        <v>45191</v>
      </c>
      <c r="D305" t="s">
        <v>56</v>
      </c>
      <c r="E305" t="str">
        <f>IFERROR(VLOOKUP(VendasSem4[[#This Row],[Produto]],cálculos!$I$3:$L$50,4,0),"")</f>
        <v>Pacote</v>
      </c>
      <c r="F305">
        <v>3</v>
      </c>
      <c r="G305" s="6">
        <f>IFERROR(VLOOKUP(VendasSem4[[#This Row],[Produto]],cálculos!$I$3:$L$50,3,0),0)</f>
        <v>1.99</v>
      </c>
      <c r="H305" s="6">
        <f>IFERROR(VendasSem4[[#This Row],[Quantidade]]*VendasSem4[[#This Row],[Preço Unitário]],0)</f>
        <v>5.97</v>
      </c>
      <c r="I305" s="11"/>
      <c r="J305" t="s">
        <v>111</v>
      </c>
      <c r="K305" s="6">
        <f>IFERROR(IF(VendasSem4[[#This Row],[Id da Venda]]=B306,0,VLOOKUP(VendasSem4[[#This Row],[Região de Entrega]],cálculos!$B$5:$C$9,2,0)),0)</f>
        <v>15</v>
      </c>
      <c r="L305" s="6">
        <f>(VendasSem4[[#This Row],[Subtotal]]*(1-VendasSem4[[#This Row],[Desconto]])+VendasSem4[[#This Row],[Valor de Entrega]])</f>
        <v>20.97</v>
      </c>
      <c r="M305" s="6">
        <f>IF(VendasSem4[[#This Row],[Id da Venda]]=B306,"",SUMIF(VendasSem4[Id da Venda],VendasSem4[[#This Row],[Id da Venda]],VendasSem4[Total]))</f>
        <v>45.39</v>
      </c>
    </row>
    <row r="306" spans="2:13" x14ac:dyDescent="0.25">
      <c r="B306">
        <v>71</v>
      </c>
      <c r="C306" s="7">
        <v>45191</v>
      </c>
      <c r="D306" t="s">
        <v>72</v>
      </c>
      <c r="E306" t="str">
        <f>IFERROR(VLOOKUP(VendasSem4[[#This Row],[Produto]],cálculos!$I$3:$L$50,4,0),"")</f>
        <v>Litro</v>
      </c>
      <c r="F306">
        <v>2</v>
      </c>
      <c r="G306" s="6">
        <f>IFERROR(VLOOKUP(VendasSem4[[#This Row],[Produto]],cálculos!$I$3:$L$50,3,0),0)</f>
        <v>2.39</v>
      </c>
      <c r="H306" s="6">
        <f>IFERROR(VendasSem4[[#This Row],[Quantidade]]*VendasSem4[[#This Row],[Preço Unitário]],0)</f>
        <v>4.78</v>
      </c>
      <c r="I306" s="11"/>
      <c r="J306" t="s">
        <v>109</v>
      </c>
      <c r="K306" s="6">
        <f>IFERROR(IF(VendasSem4[[#This Row],[Id da Venda]]=B307,0,VLOOKUP(VendasSem4[[#This Row],[Região de Entrega]],cálculos!$B$5:$C$9,2,0)),0)</f>
        <v>0</v>
      </c>
      <c r="L306" s="6">
        <f>(VendasSem4[[#This Row],[Subtotal]]*(1-VendasSem4[[#This Row],[Desconto]])+VendasSem4[[#This Row],[Valor de Entrega]])</f>
        <v>4.78</v>
      </c>
      <c r="M306" s="6" t="str">
        <f>IF(VendasSem4[[#This Row],[Id da Venda]]=B307,"",SUMIF(VendasSem4[Id da Venda],VendasSem4[[#This Row],[Id da Venda]],VendasSem4[Total]))</f>
        <v/>
      </c>
    </row>
    <row r="307" spans="2:13" x14ac:dyDescent="0.25">
      <c r="B307">
        <v>71</v>
      </c>
      <c r="C307" s="7">
        <v>45191</v>
      </c>
      <c r="D307" t="s">
        <v>71</v>
      </c>
      <c r="E307" t="str">
        <f>IFERROR(VLOOKUP(VendasSem4[[#This Row],[Produto]],cálculos!$I$3:$L$50,4,0),"")</f>
        <v>Unidade</v>
      </c>
      <c r="F307">
        <v>1</v>
      </c>
      <c r="G307" s="6">
        <f>IFERROR(VLOOKUP(VendasSem4[[#This Row],[Produto]],cálculos!$I$3:$L$50,3,0),0)</f>
        <v>2.89</v>
      </c>
      <c r="H307" s="6">
        <f>IFERROR(VendasSem4[[#This Row],[Quantidade]]*VendasSem4[[#This Row],[Preço Unitário]],0)</f>
        <v>2.89</v>
      </c>
      <c r="I307" s="11"/>
      <c r="J307" t="s">
        <v>109</v>
      </c>
      <c r="K307" s="6">
        <f>IFERROR(IF(VendasSem4[[#This Row],[Id da Venda]]=B308,0,VLOOKUP(VendasSem4[[#This Row],[Região de Entrega]],cálculos!$B$5:$C$9,2,0)),0)</f>
        <v>0</v>
      </c>
      <c r="L307" s="6">
        <f>(VendasSem4[[#This Row],[Subtotal]]*(1-VendasSem4[[#This Row],[Desconto]])+VendasSem4[[#This Row],[Valor de Entrega]])</f>
        <v>2.89</v>
      </c>
      <c r="M307" s="6">
        <f>IF(VendasSem4[[#This Row],[Id da Venda]]=B308,"",SUMIF(VendasSem4[Id da Venda],VendasSem4[[#This Row],[Id da Venda]],VendasSem4[Total]))</f>
        <v>7.67</v>
      </c>
    </row>
    <row r="308" spans="2:13" x14ac:dyDescent="0.25">
      <c r="B308">
        <v>72</v>
      </c>
      <c r="C308" s="7">
        <v>45191</v>
      </c>
      <c r="D308" t="s">
        <v>34</v>
      </c>
      <c r="E308" t="str">
        <f>IFERROR(VLOOKUP(VendasSem4[[#This Row],[Produto]],cálculos!$I$3:$L$50,4,0),"")</f>
        <v>Kg</v>
      </c>
      <c r="F308">
        <v>1</v>
      </c>
      <c r="G308" s="6">
        <f>IFERROR(VLOOKUP(VendasSem4[[#This Row],[Produto]],cálculos!$I$3:$L$50,3,0),0)</f>
        <v>5.82</v>
      </c>
      <c r="H308" s="6">
        <f>IFERROR(VendasSem4[[#This Row],[Quantidade]]*VendasSem4[[#This Row],[Preço Unitário]],0)</f>
        <v>5.82</v>
      </c>
      <c r="I308" s="11"/>
      <c r="J308" t="s">
        <v>109</v>
      </c>
      <c r="K308" s="6">
        <f>IFERROR(IF(VendasSem4[[#This Row],[Id da Venda]]=B309,0,VLOOKUP(VendasSem4[[#This Row],[Região de Entrega]],cálculos!$B$5:$C$9,2,0)),0)</f>
        <v>0</v>
      </c>
      <c r="L308" s="6">
        <f>(VendasSem4[[#This Row],[Subtotal]]*(1-VendasSem4[[#This Row],[Desconto]])+VendasSem4[[#This Row],[Valor de Entrega]])</f>
        <v>5.82</v>
      </c>
      <c r="M308" s="6" t="str">
        <f>IF(VendasSem4[[#This Row],[Id da Venda]]=B309,"",SUMIF(VendasSem4[Id da Venda],VendasSem4[[#This Row],[Id da Venda]],VendasSem4[Total]))</f>
        <v/>
      </c>
    </row>
    <row r="309" spans="2:13" x14ac:dyDescent="0.25">
      <c r="B309">
        <v>72</v>
      </c>
      <c r="C309" s="7">
        <v>45191</v>
      </c>
      <c r="D309" t="s">
        <v>128</v>
      </c>
      <c r="E309" t="str">
        <f>IFERROR(VLOOKUP(VendasSem4[[#This Row],[Produto]],cálculos!$I$3:$L$50,4,0),"")</f>
        <v>Kg</v>
      </c>
      <c r="F309">
        <v>1</v>
      </c>
      <c r="G309" s="6">
        <f>IFERROR(VLOOKUP(VendasSem4[[#This Row],[Produto]],cálculos!$I$3:$L$50,3,0),0)</f>
        <v>10</v>
      </c>
      <c r="H309" s="6">
        <f>IFERROR(VendasSem4[[#This Row],[Quantidade]]*VendasSem4[[#This Row],[Preço Unitário]],0)</f>
        <v>10</v>
      </c>
      <c r="I309" s="11"/>
      <c r="J309" t="s">
        <v>109</v>
      </c>
      <c r="K309" s="6">
        <f>IFERROR(IF(VendasSem4[[#This Row],[Id da Venda]]=B310,0,VLOOKUP(VendasSem4[[#This Row],[Região de Entrega]],cálculos!$B$5:$C$9,2,0)),0)</f>
        <v>0</v>
      </c>
      <c r="L309" s="6">
        <f>(VendasSem4[[#This Row],[Subtotal]]*(1-VendasSem4[[#This Row],[Desconto]])+VendasSem4[[#This Row],[Valor de Entrega]])</f>
        <v>10</v>
      </c>
      <c r="M309" s="6" t="str">
        <f>IF(VendasSem4[[#This Row],[Id da Venda]]=B310,"",SUMIF(VendasSem4[Id da Venda],VendasSem4[[#This Row],[Id da Venda]],VendasSem4[Total]))</f>
        <v/>
      </c>
    </row>
    <row r="310" spans="2:13" x14ac:dyDescent="0.25">
      <c r="B310">
        <v>72</v>
      </c>
      <c r="C310" s="7">
        <v>45191</v>
      </c>
      <c r="D310" t="s">
        <v>121</v>
      </c>
      <c r="E310" t="str">
        <f>IFERROR(VLOOKUP(VendasSem4[[#This Row],[Produto]],cálculos!$I$3:$L$50,4,0),"")</f>
        <v>Kg</v>
      </c>
      <c r="F310">
        <v>1</v>
      </c>
      <c r="G310" s="6">
        <f>IFERROR(VLOOKUP(VendasSem4[[#This Row],[Produto]],cálculos!$I$3:$L$50,3,0),0)</f>
        <v>12</v>
      </c>
      <c r="H310" s="6">
        <f>IFERROR(VendasSem4[[#This Row],[Quantidade]]*VendasSem4[[#This Row],[Preço Unitário]],0)</f>
        <v>12</v>
      </c>
      <c r="I310" s="11"/>
      <c r="J310" t="s">
        <v>109</v>
      </c>
      <c r="K310" s="6">
        <f>IFERROR(IF(VendasSem4[[#This Row],[Id da Venda]]=B311,0,VLOOKUP(VendasSem4[[#This Row],[Região de Entrega]],cálculos!$B$5:$C$9,2,0)),0)</f>
        <v>0</v>
      </c>
      <c r="L310" s="6">
        <f>(VendasSem4[[#This Row],[Subtotal]]*(1-VendasSem4[[#This Row],[Desconto]])+VendasSem4[[#This Row],[Valor de Entrega]])</f>
        <v>12</v>
      </c>
      <c r="M310" s="6" t="str">
        <f>IF(VendasSem4[[#This Row],[Id da Venda]]=B311,"",SUMIF(VendasSem4[Id da Venda],VendasSem4[[#This Row],[Id da Venda]],VendasSem4[Total]))</f>
        <v/>
      </c>
    </row>
    <row r="311" spans="2:13" x14ac:dyDescent="0.25">
      <c r="B311">
        <v>72</v>
      </c>
      <c r="C311" s="7">
        <v>45191</v>
      </c>
      <c r="D311" t="s">
        <v>130</v>
      </c>
      <c r="E311" t="str">
        <f>IFERROR(VLOOKUP(VendasSem4[[#This Row],[Produto]],cálculos!$I$3:$L$50,4,0),"")</f>
        <v>Kg</v>
      </c>
      <c r="F311">
        <v>1</v>
      </c>
      <c r="G311" s="6">
        <f>IFERROR(VLOOKUP(VendasSem4[[#This Row],[Produto]],cálculos!$I$3:$L$50,3,0),0)</f>
        <v>2.8</v>
      </c>
      <c r="H311" s="6">
        <f>IFERROR(VendasSem4[[#This Row],[Quantidade]]*VendasSem4[[#This Row],[Preço Unitário]],0)</f>
        <v>2.8</v>
      </c>
      <c r="I311" s="11"/>
      <c r="J311" t="s">
        <v>109</v>
      </c>
      <c r="K311" s="6">
        <f>IFERROR(IF(VendasSem4[[#This Row],[Id da Venda]]=B312,0,VLOOKUP(VendasSem4[[#This Row],[Região de Entrega]],cálculos!$B$5:$C$9,2,0)),0)</f>
        <v>0</v>
      </c>
      <c r="L311" s="6">
        <f>(VendasSem4[[#This Row],[Subtotal]]*(1-VendasSem4[[#This Row],[Desconto]])+VendasSem4[[#This Row],[Valor de Entrega]])</f>
        <v>2.8</v>
      </c>
      <c r="M311" s="6" t="str">
        <f>IF(VendasSem4[[#This Row],[Id da Venda]]=B312,"",SUMIF(VendasSem4[Id da Venda],VendasSem4[[#This Row],[Id da Venda]],VendasSem4[Total]))</f>
        <v/>
      </c>
    </row>
    <row r="312" spans="2:13" x14ac:dyDescent="0.25">
      <c r="B312">
        <v>72</v>
      </c>
      <c r="C312" s="7">
        <v>45191</v>
      </c>
      <c r="D312" t="s">
        <v>36</v>
      </c>
      <c r="E312" t="str">
        <f>IFERROR(VLOOKUP(VendasSem4[[#This Row],[Produto]],cálculos!$I$3:$L$50,4,0),"")</f>
        <v>Kg</v>
      </c>
      <c r="F312">
        <v>1</v>
      </c>
      <c r="G312" s="6">
        <f>IFERROR(VLOOKUP(VendasSem4[[#This Row],[Produto]],cálculos!$I$3:$L$50,3,0),0)</f>
        <v>15.9</v>
      </c>
      <c r="H312" s="6">
        <f>IFERROR(VendasSem4[[#This Row],[Quantidade]]*VendasSem4[[#This Row],[Preço Unitário]],0)</f>
        <v>15.9</v>
      </c>
      <c r="I312" s="11"/>
      <c r="J312" t="s">
        <v>109</v>
      </c>
      <c r="K312" s="6">
        <f>IFERROR(IF(VendasSem4[[#This Row],[Id da Venda]]=B313,0,VLOOKUP(VendasSem4[[#This Row],[Região de Entrega]],cálculos!$B$5:$C$9,2,0)),0)</f>
        <v>0</v>
      </c>
      <c r="L312" s="6">
        <f>(VendasSem4[[#This Row],[Subtotal]]*(1-VendasSem4[[#This Row],[Desconto]])+VendasSem4[[#This Row],[Valor de Entrega]])</f>
        <v>15.9</v>
      </c>
      <c r="M312" s="6" t="str">
        <f>IF(VendasSem4[[#This Row],[Id da Venda]]=B313,"",SUMIF(VendasSem4[Id da Venda],VendasSem4[[#This Row],[Id da Venda]],VendasSem4[Total]))</f>
        <v/>
      </c>
    </row>
    <row r="313" spans="2:13" x14ac:dyDescent="0.25">
      <c r="B313">
        <v>72</v>
      </c>
      <c r="C313" s="7">
        <v>45191</v>
      </c>
      <c r="D313" t="s">
        <v>137</v>
      </c>
      <c r="E313" t="str">
        <f>IFERROR(VLOOKUP(VendasSem4[[#This Row],[Produto]],cálculos!$I$3:$L$50,4,0),"")</f>
        <v>Kg</v>
      </c>
      <c r="F313">
        <v>1</v>
      </c>
      <c r="G313" s="6">
        <f>IFERROR(VLOOKUP(VendasSem4[[#This Row],[Produto]],cálculos!$I$3:$L$50,3,0),0)</f>
        <v>7</v>
      </c>
      <c r="H313" s="6">
        <f>IFERROR(VendasSem4[[#This Row],[Quantidade]]*VendasSem4[[#This Row],[Preço Unitário]],0)</f>
        <v>7</v>
      </c>
      <c r="I313" s="11"/>
      <c r="J313" t="s">
        <v>109</v>
      </c>
      <c r="K313" s="6">
        <f>IFERROR(IF(VendasSem4[[#This Row],[Id da Venda]]=B314,0,VLOOKUP(VendasSem4[[#This Row],[Região de Entrega]],cálculos!$B$5:$C$9,2,0)),0)</f>
        <v>0</v>
      </c>
      <c r="L313" s="6">
        <f>(VendasSem4[[#This Row],[Subtotal]]*(1-VendasSem4[[#This Row],[Desconto]])+VendasSem4[[#This Row],[Valor de Entrega]])</f>
        <v>7</v>
      </c>
      <c r="M313" s="6" t="str">
        <f>IF(VendasSem4[[#This Row],[Id da Venda]]=B314,"",SUMIF(VendasSem4[Id da Venda],VendasSem4[[#This Row],[Id da Venda]],VendasSem4[Total]))</f>
        <v/>
      </c>
    </row>
    <row r="314" spans="2:13" x14ac:dyDescent="0.25">
      <c r="B314">
        <v>72</v>
      </c>
      <c r="C314" s="7">
        <v>45191</v>
      </c>
      <c r="D314" t="s">
        <v>35</v>
      </c>
      <c r="E314" t="str">
        <f>IFERROR(VLOOKUP(VendasSem4[[#This Row],[Produto]],cálculos!$I$3:$L$50,4,0),"")</f>
        <v>Unidade</v>
      </c>
      <c r="F314">
        <v>1</v>
      </c>
      <c r="G314" s="6">
        <f>IFERROR(VLOOKUP(VendasSem4[[#This Row],[Produto]],cálculos!$I$3:$L$50,3,0),0)</f>
        <v>2.99</v>
      </c>
      <c r="H314" s="6">
        <f>IFERROR(VendasSem4[[#This Row],[Quantidade]]*VendasSem4[[#This Row],[Preço Unitário]],0)</f>
        <v>2.99</v>
      </c>
      <c r="I314" s="11"/>
      <c r="J314" t="s">
        <v>109</v>
      </c>
      <c r="K314" s="6">
        <f>IFERROR(IF(VendasSem4[[#This Row],[Id da Venda]]=B315,0,VLOOKUP(VendasSem4[[#This Row],[Região de Entrega]],cálculos!$B$5:$C$9,2,0)),0)</f>
        <v>0</v>
      </c>
      <c r="L314" s="6">
        <f>(VendasSem4[[#This Row],[Subtotal]]*(1-VendasSem4[[#This Row],[Desconto]])+VendasSem4[[#This Row],[Valor de Entrega]])</f>
        <v>2.99</v>
      </c>
      <c r="M314" s="6">
        <f>IF(VendasSem4[[#This Row],[Id da Venda]]=B315,"",SUMIF(VendasSem4[Id da Venda],VendasSem4[[#This Row],[Id da Venda]],VendasSem4[Total]))</f>
        <v>56.510000000000005</v>
      </c>
    </row>
    <row r="315" spans="2:13" x14ac:dyDescent="0.25">
      <c r="B315">
        <v>73</v>
      </c>
      <c r="C315" s="7">
        <v>45191</v>
      </c>
      <c r="D315" t="s">
        <v>119</v>
      </c>
      <c r="E315" t="str">
        <f>IFERROR(VLOOKUP(VendasSem4[[#This Row],[Produto]],cálculos!$I$3:$L$50,4,0),"")</f>
        <v>Kg</v>
      </c>
      <c r="F315">
        <v>2</v>
      </c>
      <c r="G315" s="6">
        <f>IFERROR(VLOOKUP(VendasSem4[[#This Row],[Produto]],cálculos!$I$3:$L$50,3,0),0)</f>
        <v>6.8</v>
      </c>
      <c r="H315" s="6">
        <f>IFERROR(VendasSem4[[#This Row],[Quantidade]]*VendasSem4[[#This Row],[Preço Unitário]],0)</f>
        <v>13.6</v>
      </c>
      <c r="I315" s="11"/>
      <c r="J315" t="s">
        <v>112</v>
      </c>
      <c r="K315" s="6">
        <f>IFERROR(IF(VendasSem4[[#This Row],[Id da Venda]]=B316,0,VLOOKUP(VendasSem4[[#This Row],[Região de Entrega]],cálculos!$B$5:$C$9,2,0)),0)</f>
        <v>0</v>
      </c>
      <c r="L315" s="6">
        <f>(VendasSem4[[#This Row],[Subtotal]]*(1-VendasSem4[[#This Row],[Desconto]])+VendasSem4[[#This Row],[Valor de Entrega]])</f>
        <v>13.6</v>
      </c>
      <c r="M315" s="6" t="str">
        <f>IF(VendasSem4[[#This Row],[Id da Venda]]=B316,"",SUMIF(VendasSem4[Id da Venda],VendasSem4[[#This Row],[Id da Venda]],VendasSem4[Total]))</f>
        <v/>
      </c>
    </row>
    <row r="316" spans="2:13" x14ac:dyDescent="0.25">
      <c r="B316">
        <v>73</v>
      </c>
      <c r="C316" s="7">
        <v>45191</v>
      </c>
      <c r="D316" t="s">
        <v>39</v>
      </c>
      <c r="E316" t="str">
        <f>IFERROR(VLOOKUP(VendasSem4[[#This Row],[Produto]],cálculos!$I$3:$L$50,4,0),"")</f>
        <v>Kg</v>
      </c>
      <c r="F316">
        <v>1</v>
      </c>
      <c r="G316" s="6">
        <f>IFERROR(VLOOKUP(VendasSem4[[#This Row],[Produto]],cálculos!$I$3:$L$50,3,0),0)</f>
        <v>25.9</v>
      </c>
      <c r="H316" s="6">
        <f>IFERROR(VendasSem4[[#This Row],[Quantidade]]*VendasSem4[[#This Row],[Preço Unitário]],0)</f>
        <v>25.9</v>
      </c>
      <c r="I316" s="11"/>
      <c r="J316" t="s">
        <v>112</v>
      </c>
      <c r="K316" s="6">
        <f>IFERROR(IF(VendasSem4[[#This Row],[Id da Venda]]=B317,0,VLOOKUP(VendasSem4[[#This Row],[Região de Entrega]],cálculos!$B$5:$C$9,2,0)),0)</f>
        <v>0</v>
      </c>
      <c r="L316" s="6">
        <f>(VendasSem4[[#This Row],[Subtotal]]*(1-VendasSem4[[#This Row],[Desconto]])+VendasSem4[[#This Row],[Valor de Entrega]])</f>
        <v>25.9</v>
      </c>
      <c r="M316" s="6" t="str">
        <f>IF(VendasSem4[[#This Row],[Id da Venda]]=B317,"",SUMIF(VendasSem4[Id da Venda],VendasSem4[[#This Row],[Id da Venda]],VendasSem4[Total]))</f>
        <v/>
      </c>
    </row>
    <row r="317" spans="2:13" x14ac:dyDescent="0.25">
      <c r="B317">
        <v>73</v>
      </c>
      <c r="C317" s="7">
        <v>45191</v>
      </c>
      <c r="D317" t="s">
        <v>120</v>
      </c>
      <c r="E317" t="str">
        <f>IFERROR(VLOOKUP(VendasSem4[[#This Row],[Produto]],cálculos!$I$3:$L$50,4,0),"")</f>
        <v>Kg</v>
      </c>
      <c r="F317">
        <v>2</v>
      </c>
      <c r="G317" s="6">
        <f>IFERROR(VLOOKUP(VendasSem4[[#This Row],[Produto]],cálculos!$I$3:$L$50,3,0),0)</f>
        <v>4.5</v>
      </c>
      <c r="H317" s="6">
        <f>IFERROR(VendasSem4[[#This Row],[Quantidade]]*VendasSem4[[#This Row],[Preço Unitário]],0)</f>
        <v>9</v>
      </c>
      <c r="I317" s="11"/>
      <c r="J317" t="s">
        <v>112</v>
      </c>
      <c r="K317" s="6">
        <f>IFERROR(IF(VendasSem4[[#This Row],[Id da Venda]]=B318,0,VLOOKUP(VendasSem4[[#This Row],[Região de Entrega]],cálculos!$B$5:$C$9,2,0)),0)</f>
        <v>7</v>
      </c>
      <c r="L317" s="6">
        <f>(VendasSem4[[#This Row],[Subtotal]]*(1-VendasSem4[[#This Row],[Desconto]])+VendasSem4[[#This Row],[Valor de Entrega]])</f>
        <v>16</v>
      </c>
      <c r="M317" s="6">
        <f>IF(VendasSem4[[#This Row],[Id da Venda]]=B318,"",SUMIF(VendasSem4[Id da Venda],VendasSem4[[#This Row],[Id da Venda]],VendasSem4[Total]))</f>
        <v>55.5</v>
      </c>
    </row>
    <row r="318" spans="2:13" x14ac:dyDescent="0.25">
      <c r="B318">
        <v>74</v>
      </c>
      <c r="C318" s="7">
        <v>45191</v>
      </c>
      <c r="D318" t="s">
        <v>66</v>
      </c>
      <c r="E318" t="str">
        <f>IFERROR(VLOOKUP(VendasSem4[[#This Row],[Produto]],cálculos!$I$3:$L$50,4,0),"")</f>
        <v>Litro</v>
      </c>
      <c r="F318">
        <v>2</v>
      </c>
      <c r="G318" s="6">
        <f>IFERROR(VLOOKUP(VendasSem4[[#This Row],[Produto]],cálculos!$I$3:$L$50,3,0),0)</f>
        <v>1.49</v>
      </c>
      <c r="H318" s="6">
        <f>IFERROR(VendasSem4[[#This Row],[Quantidade]]*VendasSem4[[#This Row],[Preço Unitário]],0)</f>
        <v>2.98</v>
      </c>
      <c r="I318" s="11"/>
      <c r="J318" t="s">
        <v>109</v>
      </c>
      <c r="K318" s="6">
        <f>IFERROR(IF(VendasSem4[[#This Row],[Id da Venda]]=B319,0,VLOOKUP(VendasSem4[[#This Row],[Região de Entrega]],cálculos!$B$5:$C$9,2,0)),0)</f>
        <v>0</v>
      </c>
      <c r="L318" s="6">
        <f>(VendasSem4[[#This Row],[Subtotal]]*(1-VendasSem4[[#This Row],[Desconto]])+VendasSem4[[#This Row],[Valor de Entrega]])</f>
        <v>2.98</v>
      </c>
      <c r="M318" s="6" t="str">
        <f>IF(VendasSem4[[#This Row],[Id da Venda]]=B319,"",SUMIF(VendasSem4[Id da Venda],VendasSem4[[#This Row],[Id da Venda]],VendasSem4[Total]))</f>
        <v/>
      </c>
    </row>
    <row r="319" spans="2:13" x14ac:dyDescent="0.25">
      <c r="B319">
        <v>74</v>
      </c>
      <c r="C319" s="7">
        <v>45191</v>
      </c>
      <c r="D319" t="s">
        <v>132</v>
      </c>
      <c r="E319" t="str">
        <f>IFERROR(VLOOKUP(VendasSem4[[#This Row],[Produto]],cálculos!$I$3:$L$50,4,0),"")</f>
        <v>Kg</v>
      </c>
      <c r="F319">
        <v>1</v>
      </c>
      <c r="G319" s="6">
        <f>IFERROR(VLOOKUP(VendasSem4[[#This Row],[Produto]],cálculos!$I$3:$L$50,3,0),0)</f>
        <v>2.9</v>
      </c>
      <c r="H319" s="6">
        <f>IFERROR(VendasSem4[[#This Row],[Quantidade]]*VendasSem4[[#This Row],[Preço Unitário]],0)</f>
        <v>2.9</v>
      </c>
      <c r="I319" s="11"/>
      <c r="J319" t="s">
        <v>109</v>
      </c>
      <c r="K319" s="6">
        <f>IFERROR(IF(VendasSem4[[#This Row],[Id da Venda]]=B320,0,VLOOKUP(VendasSem4[[#This Row],[Região de Entrega]],cálculos!$B$5:$C$9,2,0)),0)</f>
        <v>0</v>
      </c>
      <c r="L319" s="6">
        <f>(VendasSem4[[#This Row],[Subtotal]]*(1-VendasSem4[[#This Row],[Desconto]])+VendasSem4[[#This Row],[Valor de Entrega]])</f>
        <v>2.9</v>
      </c>
      <c r="M319" s="6">
        <f>IF(VendasSem4[[#This Row],[Id da Venda]]=B320,"",SUMIF(VendasSem4[Id da Venda],VendasSem4[[#This Row],[Id da Venda]],VendasSem4[Total]))</f>
        <v>5.88</v>
      </c>
    </row>
    <row r="320" spans="2:13" x14ac:dyDescent="0.25">
      <c r="B320">
        <v>75</v>
      </c>
      <c r="C320" s="7">
        <v>45191</v>
      </c>
      <c r="D320" t="s">
        <v>121</v>
      </c>
      <c r="E320" t="str">
        <f>IFERROR(VLOOKUP(VendasSem4[[#This Row],[Produto]],cálculos!$I$3:$L$50,4,0),"")</f>
        <v>Kg</v>
      </c>
      <c r="F320">
        <v>3</v>
      </c>
      <c r="G320" s="6">
        <f>IFERROR(VLOOKUP(VendasSem4[[#This Row],[Produto]],cálculos!$I$3:$L$50,3,0),0)</f>
        <v>12</v>
      </c>
      <c r="H320" s="6">
        <f>IFERROR(VendasSem4[[#This Row],[Quantidade]]*VendasSem4[[#This Row],[Preço Unitário]],0)</f>
        <v>36</v>
      </c>
      <c r="I320" s="11"/>
      <c r="J320" t="s">
        <v>111</v>
      </c>
      <c r="K320" s="6">
        <f>IFERROR(IF(VendasSem4[[#This Row],[Id da Venda]]=B321,0,VLOOKUP(VendasSem4[[#This Row],[Região de Entrega]],cálculos!$B$5:$C$9,2,0)),0)</f>
        <v>0</v>
      </c>
      <c r="L320" s="6">
        <f>(VendasSem4[[#This Row],[Subtotal]]*(1-VendasSem4[[#This Row],[Desconto]])+VendasSem4[[#This Row],[Valor de Entrega]])</f>
        <v>36</v>
      </c>
      <c r="M320" s="6" t="str">
        <f>IF(VendasSem4[[#This Row],[Id da Venda]]=B321,"",SUMIF(VendasSem4[Id da Venda],VendasSem4[[#This Row],[Id da Venda]],VendasSem4[Total]))</f>
        <v/>
      </c>
    </row>
    <row r="321" spans="2:13" x14ac:dyDescent="0.25">
      <c r="B321">
        <v>75</v>
      </c>
      <c r="C321" s="7">
        <v>45191</v>
      </c>
      <c r="D321" t="s">
        <v>130</v>
      </c>
      <c r="E321" t="str">
        <f>IFERROR(VLOOKUP(VendasSem4[[#This Row],[Produto]],cálculos!$I$3:$L$50,4,0),"")</f>
        <v>Kg</v>
      </c>
      <c r="F321">
        <v>2</v>
      </c>
      <c r="G321" s="6">
        <f>IFERROR(VLOOKUP(VendasSem4[[#This Row],[Produto]],cálculos!$I$3:$L$50,3,0),0)</f>
        <v>2.8</v>
      </c>
      <c r="H321" s="6">
        <f>IFERROR(VendasSem4[[#This Row],[Quantidade]]*VendasSem4[[#This Row],[Preço Unitário]],0)</f>
        <v>5.6</v>
      </c>
      <c r="I321" s="11"/>
      <c r="J321" t="s">
        <v>111</v>
      </c>
      <c r="K321" s="6">
        <f>IFERROR(IF(VendasSem4[[#This Row],[Id da Venda]]=B322,0,VLOOKUP(VendasSem4[[#This Row],[Região de Entrega]],cálculos!$B$5:$C$9,2,0)),0)</f>
        <v>15</v>
      </c>
      <c r="L321" s="6">
        <f>(VendasSem4[[#This Row],[Subtotal]]*(1-VendasSem4[[#This Row],[Desconto]])+VendasSem4[[#This Row],[Valor de Entrega]])</f>
        <v>20.6</v>
      </c>
      <c r="M321" s="6">
        <f>IF(VendasSem4[[#This Row],[Id da Venda]]=B322,"",SUMIF(VendasSem4[Id da Venda],VendasSem4[[#This Row],[Id da Venda]],VendasSem4[Total]))</f>
        <v>56.6</v>
      </c>
    </row>
    <row r="322" spans="2:13" x14ac:dyDescent="0.25">
      <c r="B322">
        <v>76</v>
      </c>
      <c r="C322" s="7">
        <v>45191</v>
      </c>
      <c r="D322" t="s">
        <v>32</v>
      </c>
      <c r="E322" t="str">
        <f>IFERROR(VLOOKUP(VendasSem4[[#This Row],[Produto]],cálculos!$I$3:$L$50,4,0),"")</f>
        <v>Kg</v>
      </c>
      <c r="F322">
        <v>10</v>
      </c>
      <c r="G322" s="6">
        <f>IFERROR(VLOOKUP(VendasSem4[[#This Row],[Produto]],cálculos!$I$3:$L$50,3,0),0)</f>
        <v>2.4900000000000002</v>
      </c>
      <c r="H322" s="6">
        <f>IFERROR(VendasSem4[[#This Row],[Quantidade]]*VendasSem4[[#This Row],[Preço Unitário]],0)</f>
        <v>24.900000000000002</v>
      </c>
      <c r="I322" s="11"/>
      <c r="J322" t="s">
        <v>109</v>
      </c>
      <c r="K322" s="6">
        <f>IFERROR(IF(VendasSem4[[#This Row],[Id da Venda]]=B323,0,VLOOKUP(VendasSem4[[#This Row],[Região de Entrega]],cálculos!$B$5:$C$9,2,0)),0)</f>
        <v>0</v>
      </c>
      <c r="L322" s="6">
        <f>(VendasSem4[[#This Row],[Subtotal]]*(1-VendasSem4[[#This Row],[Desconto]])+VendasSem4[[#This Row],[Valor de Entrega]])</f>
        <v>24.900000000000002</v>
      </c>
      <c r="M322" s="6" t="str">
        <f>IF(VendasSem4[[#This Row],[Id da Venda]]=B323,"",SUMIF(VendasSem4[Id da Venda],VendasSem4[[#This Row],[Id da Venda]],VendasSem4[Total]))</f>
        <v/>
      </c>
    </row>
    <row r="323" spans="2:13" x14ac:dyDescent="0.25">
      <c r="B323">
        <v>76</v>
      </c>
      <c r="C323" s="7">
        <v>45191</v>
      </c>
      <c r="D323" t="s">
        <v>37</v>
      </c>
      <c r="E323" t="str">
        <f>IFERROR(VLOOKUP(VendasSem4[[#This Row],[Produto]],cálculos!$I$3:$L$50,4,0),"")</f>
        <v>Kg</v>
      </c>
      <c r="F323">
        <v>5</v>
      </c>
      <c r="G323" s="6">
        <f>IFERROR(VLOOKUP(VendasSem4[[#This Row],[Produto]],cálculos!$I$3:$L$50,3,0),0)</f>
        <v>6.98</v>
      </c>
      <c r="H323" s="6">
        <f>IFERROR(VendasSem4[[#This Row],[Quantidade]]*VendasSem4[[#This Row],[Preço Unitário]],0)</f>
        <v>34.900000000000006</v>
      </c>
      <c r="I323" s="11"/>
      <c r="J323" t="s">
        <v>109</v>
      </c>
      <c r="K323" s="6">
        <f>IFERROR(IF(VendasSem4[[#This Row],[Id da Venda]]=B324,0,VLOOKUP(VendasSem4[[#This Row],[Região de Entrega]],cálculos!$B$5:$C$9,2,0)),0)</f>
        <v>0</v>
      </c>
      <c r="L323" s="6">
        <f>(VendasSem4[[#This Row],[Subtotal]]*(1-VendasSem4[[#This Row],[Desconto]])+VendasSem4[[#This Row],[Valor de Entrega]])</f>
        <v>34.900000000000006</v>
      </c>
      <c r="M323" s="6" t="str">
        <f>IF(VendasSem4[[#This Row],[Id da Venda]]=B324,"",SUMIF(VendasSem4[Id da Venda],VendasSem4[[#This Row],[Id da Venda]],VendasSem4[Total]))</f>
        <v/>
      </c>
    </row>
    <row r="324" spans="2:13" x14ac:dyDescent="0.25">
      <c r="B324">
        <v>76</v>
      </c>
      <c r="C324" s="7">
        <v>45191</v>
      </c>
      <c r="D324" t="s">
        <v>129</v>
      </c>
      <c r="E324" t="str">
        <f>IFERROR(VLOOKUP(VendasSem4[[#This Row],[Produto]],cálculos!$I$3:$L$50,4,0),"")</f>
        <v>Unidade</v>
      </c>
      <c r="F324">
        <v>2</v>
      </c>
      <c r="G324" s="6">
        <f>IFERROR(VLOOKUP(VendasSem4[[#This Row],[Produto]],cálculos!$I$3:$L$50,3,0),0)</f>
        <v>18.899999999999999</v>
      </c>
      <c r="H324" s="6">
        <f>IFERROR(VendasSem4[[#This Row],[Quantidade]]*VendasSem4[[#This Row],[Preço Unitário]],0)</f>
        <v>37.799999999999997</v>
      </c>
      <c r="I324" s="11"/>
      <c r="J324" t="s">
        <v>109</v>
      </c>
      <c r="K324" s="6">
        <f>IFERROR(IF(VendasSem4[[#This Row],[Id da Venda]]=B325,0,VLOOKUP(VendasSem4[[#This Row],[Região de Entrega]],cálculos!$B$5:$C$9,2,0)),0)</f>
        <v>0</v>
      </c>
      <c r="L324" s="6">
        <f>(VendasSem4[[#This Row],[Subtotal]]*(1-VendasSem4[[#This Row],[Desconto]])+VendasSem4[[#This Row],[Valor de Entrega]])</f>
        <v>37.799999999999997</v>
      </c>
      <c r="M324" s="6" t="str">
        <f>IF(VendasSem4[[#This Row],[Id da Venda]]=B325,"",SUMIF(VendasSem4[Id da Venda],VendasSem4[[#This Row],[Id da Venda]],VendasSem4[Total]))</f>
        <v/>
      </c>
    </row>
    <row r="325" spans="2:13" x14ac:dyDescent="0.25">
      <c r="B325">
        <v>76</v>
      </c>
      <c r="C325" s="7">
        <v>45191</v>
      </c>
      <c r="D325" t="s">
        <v>59</v>
      </c>
      <c r="E325" t="str">
        <f>IFERROR(VLOOKUP(VendasSem4[[#This Row],[Produto]],cálculos!$I$3:$L$50,4,0),"")</f>
        <v>Pacote</v>
      </c>
      <c r="F325">
        <v>1</v>
      </c>
      <c r="G325" s="6">
        <f>IFERROR(VLOOKUP(VendasSem4[[#This Row],[Produto]],cálculos!$I$3:$L$50,3,0),0)</f>
        <v>1.1499999999999999</v>
      </c>
      <c r="H325" s="6">
        <f>IFERROR(VendasSem4[[#This Row],[Quantidade]]*VendasSem4[[#This Row],[Preço Unitário]],0)</f>
        <v>1.1499999999999999</v>
      </c>
      <c r="I325" s="11"/>
      <c r="J325" t="s">
        <v>109</v>
      </c>
      <c r="K325" s="6">
        <f>IFERROR(IF(VendasSem4[[#This Row],[Id da Venda]]=B326,0,VLOOKUP(VendasSem4[[#This Row],[Região de Entrega]],cálculos!$B$5:$C$9,2,0)),0)</f>
        <v>0</v>
      </c>
      <c r="L325" s="6">
        <f>(VendasSem4[[#This Row],[Subtotal]]*(1-VendasSem4[[#This Row],[Desconto]])+VendasSem4[[#This Row],[Valor de Entrega]])</f>
        <v>1.1499999999999999</v>
      </c>
      <c r="M325" s="6" t="str">
        <f>IF(VendasSem4[[#This Row],[Id da Venda]]=B326,"",SUMIF(VendasSem4[Id da Venda],VendasSem4[[#This Row],[Id da Venda]],VendasSem4[Total]))</f>
        <v/>
      </c>
    </row>
    <row r="326" spans="2:13" x14ac:dyDescent="0.25">
      <c r="B326">
        <v>76</v>
      </c>
      <c r="C326" s="7">
        <v>45191</v>
      </c>
      <c r="D326" t="s">
        <v>71</v>
      </c>
      <c r="E326" t="str">
        <f>IFERROR(VLOOKUP(VendasSem4[[#This Row],[Produto]],cálculos!$I$3:$L$50,4,0),"")</f>
        <v>Unidade</v>
      </c>
      <c r="F326">
        <v>2</v>
      </c>
      <c r="G326" s="6">
        <f>IFERROR(VLOOKUP(VendasSem4[[#This Row],[Produto]],cálculos!$I$3:$L$50,3,0),0)</f>
        <v>2.89</v>
      </c>
      <c r="H326" s="6">
        <f>IFERROR(VendasSem4[[#This Row],[Quantidade]]*VendasSem4[[#This Row],[Preço Unitário]],0)</f>
        <v>5.78</v>
      </c>
      <c r="I326" s="11"/>
      <c r="J326" t="s">
        <v>109</v>
      </c>
      <c r="K326" s="6">
        <f>IFERROR(IF(VendasSem4[[#This Row],[Id da Venda]]=B327,0,VLOOKUP(VendasSem4[[#This Row],[Região de Entrega]],cálculos!$B$5:$C$9,2,0)),0)</f>
        <v>0</v>
      </c>
      <c r="L326" s="6">
        <f>(VendasSem4[[#This Row],[Subtotal]]*(1-VendasSem4[[#This Row],[Desconto]])+VendasSem4[[#This Row],[Valor de Entrega]])</f>
        <v>5.78</v>
      </c>
      <c r="M326" s="6" t="str">
        <f>IF(VendasSem4[[#This Row],[Id da Venda]]=B327,"",SUMIF(VendasSem4[Id da Venda],VendasSem4[[#This Row],[Id da Venda]],VendasSem4[Total]))</f>
        <v/>
      </c>
    </row>
    <row r="327" spans="2:13" x14ac:dyDescent="0.25">
      <c r="B327">
        <v>76</v>
      </c>
      <c r="C327" s="7">
        <v>45191</v>
      </c>
      <c r="D327" t="s">
        <v>130</v>
      </c>
      <c r="E327" t="str">
        <f>IFERROR(VLOOKUP(VendasSem4[[#This Row],[Produto]],cálculos!$I$3:$L$50,4,0),"")</f>
        <v>Kg</v>
      </c>
      <c r="F327">
        <v>1</v>
      </c>
      <c r="G327" s="6">
        <f>IFERROR(VLOOKUP(VendasSem4[[#This Row],[Produto]],cálculos!$I$3:$L$50,3,0),0)</f>
        <v>2.8</v>
      </c>
      <c r="H327" s="6">
        <f>IFERROR(VendasSem4[[#This Row],[Quantidade]]*VendasSem4[[#This Row],[Preço Unitário]],0)</f>
        <v>2.8</v>
      </c>
      <c r="I327" s="11"/>
      <c r="J327" t="s">
        <v>109</v>
      </c>
      <c r="K327" s="6">
        <f>IFERROR(IF(VendasSem4[[#This Row],[Id da Venda]]=B328,0,VLOOKUP(VendasSem4[[#This Row],[Região de Entrega]],cálculos!$B$5:$C$9,2,0)),0)</f>
        <v>0</v>
      </c>
      <c r="L327" s="6">
        <f>(VendasSem4[[#This Row],[Subtotal]]*(1-VendasSem4[[#This Row],[Desconto]])+VendasSem4[[#This Row],[Valor de Entrega]])</f>
        <v>2.8</v>
      </c>
      <c r="M327" s="6" t="str">
        <f>IF(VendasSem4[[#This Row],[Id da Venda]]=B328,"",SUMIF(VendasSem4[Id da Venda],VendasSem4[[#This Row],[Id da Venda]],VendasSem4[Total]))</f>
        <v/>
      </c>
    </row>
    <row r="328" spans="2:13" x14ac:dyDescent="0.25">
      <c r="B328">
        <v>76</v>
      </c>
      <c r="C328" s="7">
        <v>45191</v>
      </c>
      <c r="D328" t="s">
        <v>35</v>
      </c>
      <c r="E328" t="str">
        <f>IFERROR(VLOOKUP(VendasSem4[[#This Row],[Produto]],cálculos!$I$3:$L$50,4,0),"")</f>
        <v>Unidade</v>
      </c>
      <c r="F328">
        <v>2</v>
      </c>
      <c r="G328" s="6">
        <f>IFERROR(VLOOKUP(VendasSem4[[#This Row],[Produto]],cálculos!$I$3:$L$50,3,0),0)</f>
        <v>2.99</v>
      </c>
      <c r="H328" s="6">
        <f>IFERROR(VendasSem4[[#This Row],[Quantidade]]*VendasSem4[[#This Row],[Preço Unitário]],0)</f>
        <v>5.98</v>
      </c>
      <c r="I328" s="11"/>
      <c r="J328" t="s">
        <v>109</v>
      </c>
      <c r="K328" s="6">
        <f>IFERROR(IF(VendasSem4[[#This Row],[Id da Venda]]=B329,0,VLOOKUP(VendasSem4[[#This Row],[Região de Entrega]],cálculos!$B$5:$C$9,2,0)),0)</f>
        <v>0</v>
      </c>
      <c r="L328" s="6">
        <f>(VendasSem4[[#This Row],[Subtotal]]*(1-VendasSem4[[#This Row],[Desconto]])+VendasSem4[[#This Row],[Valor de Entrega]])</f>
        <v>5.98</v>
      </c>
      <c r="M328" s="6" t="str">
        <f>IF(VendasSem4[[#This Row],[Id da Venda]]=B329,"",SUMIF(VendasSem4[Id da Venda],VendasSem4[[#This Row],[Id da Venda]],VendasSem4[Total]))</f>
        <v/>
      </c>
    </row>
    <row r="329" spans="2:13" x14ac:dyDescent="0.25">
      <c r="B329">
        <v>76</v>
      </c>
      <c r="C329" s="7">
        <v>45191</v>
      </c>
      <c r="D329" t="s">
        <v>133</v>
      </c>
      <c r="E329" t="str">
        <f>IFERROR(VLOOKUP(VendasSem4[[#This Row],[Produto]],cálculos!$I$3:$L$50,4,0),"")</f>
        <v>Kg</v>
      </c>
      <c r="F329">
        <v>1</v>
      </c>
      <c r="G329" s="6">
        <f>IFERROR(VLOOKUP(VendasSem4[[#This Row],[Produto]],cálculos!$I$3:$L$50,3,0),0)</f>
        <v>3</v>
      </c>
      <c r="H329" s="6">
        <f>IFERROR(VendasSem4[[#This Row],[Quantidade]]*VendasSem4[[#This Row],[Preço Unitário]],0)</f>
        <v>3</v>
      </c>
      <c r="I329" s="11"/>
      <c r="J329" t="s">
        <v>109</v>
      </c>
      <c r="K329" s="6">
        <f>IFERROR(IF(VendasSem4[[#This Row],[Id da Venda]]=B330,0,VLOOKUP(VendasSem4[[#This Row],[Região de Entrega]],cálculos!$B$5:$C$9,2,0)),0)</f>
        <v>0</v>
      </c>
      <c r="L329" s="6">
        <f>(VendasSem4[[#This Row],[Subtotal]]*(1-VendasSem4[[#This Row],[Desconto]])+VendasSem4[[#This Row],[Valor de Entrega]])</f>
        <v>3</v>
      </c>
      <c r="M329" s="6" t="str">
        <f>IF(VendasSem4[[#This Row],[Id da Venda]]=B330,"",SUMIF(VendasSem4[Id da Venda],VendasSem4[[#This Row],[Id da Venda]],VendasSem4[Total]))</f>
        <v/>
      </c>
    </row>
    <row r="330" spans="2:13" x14ac:dyDescent="0.25">
      <c r="B330">
        <v>76</v>
      </c>
      <c r="C330" s="7">
        <v>45191</v>
      </c>
      <c r="D330" t="s">
        <v>33</v>
      </c>
      <c r="E330" t="str">
        <f>IFERROR(VLOOKUP(VendasSem4[[#This Row],[Produto]],cálculos!$I$3:$L$50,4,0),"")</f>
        <v>Kg</v>
      </c>
      <c r="F330">
        <v>5</v>
      </c>
      <c r="G330" s="6">
        <f>IFERROR(VLOOKUP(VendasSem4[[#This Row],[Produto]],cálculos!$I$3:$L$50,3,0),0)</f>
        <v>4.28</v>
      </c>
      <c r="H330" s="6">
        <f>IFERROR(VendasSem4[[#This Row],[Quantidade]]*VendasSem4[[#This Row],[Preço Unitário]],0)</f>
        <v>21.400000000000002</v>
      </c>
      <c r="I330" s="11"/>
      <c r="J330" t="s">
        <v>109</v>
      </c>
      <c r="K330" s="6">
        <f>IFERROR(IF(VendasSem4[[#This Row],[Id da Venda]]=B331,0,VLOOKUP(VendasSem4[[#This Row],[Região de Entrega]],cálculos!$B$5:$C$9,2,0)),0)</f>
        <v>0</v>
      </c>
      <c r="L330" s="6">
        <f>(VendasSem4[[#This Row],[Subtotal]]*(1-VendasSem4[[#This Row],[Desconto]])+VendasSem4[[#This Row],[Valor de Entrega]])</f>
        <v>21.400000000000002</v>
      </c>
      <c r="M330" s="6">
        <f>IF(VendasSem4[[#This Row],[Id da Venda]]=B331,"",SUMIF(VendasSem4[Id da Venda],VendasSem4[[#This Row],[Id da Venda]],VendasSem4[Total]))</f>
        <v>137.71</v>
      </c>
    </row>
    <row r="331" spans="2:13" x14ac:dyDescent="0.25">
      <c r="B331">
        <v>77</v>
      </c>
      <c r="C331" s="7">
        <v>45192</v>
      </c>
      <c r="D331" t="s">
        <v>45</v>
      </c>
      <c r="E331" t="str">
        <f>IFERROR(VLOOKUP(VendasSem4[[#This Row],[Produto]],cálculos!$I$3:$L$50,4,0),"")</f>
        <v>Lata</v>
      </c>
      <c r="F331">
        <v>5</v>
      </c>
      <c r="G331" s="6">
        <f>IFERROR(VLOOKUP(VendasSem4[[#This Row],[Produto]],cálculos!$I$3:$L$50,3,0),0)</f>
        <v>2.19</v>
      </c>
      <c r="H331" s="6">
        <f>IFERROR(VendasSem4[[#This Row],[Quantidade]]*VendasSem4[[#This Row],[Preço Unitário]],0)</f>
        <v>10.95</v>
      </c>
      <c r="I331" s="11"/>
      <c r="J331" t="s">
        <v>112</v>
      </c>
      <c r="K331" s="6">
        <f>IFERROR(IF(VendasSem4[[#This Row],[Id da Venda]]=B332,0,VLOOKUP(VendasSem4[[#This Row],[Região de Entrega]],cálculos!$B$5:$C$9,2,0)),0)</f>
        <v>0</v>
      </c>
      <c r="L331" s="6">
        <f>(VendasSem4[[#This Row],[Subtotal]]*(1-VendasSem4[[#This Row],[Desconto]])+VendasSem4[[#This Row],[Valor de Entrega]])</f>
        <v>10.95</v>
      </c>
      <c r="M331" s="6" t="str">
        <f>IF(VendasSem4[[#This Row],[Id da Venda]]=B332,"",SUMIF(VendasSem4[Id da Venda],VendasSem4[[#This Row],[Id da Venda]],VendasSem4[Total]))</f>
        <v/>
      </c>
    </row>
    <row r="332" spans="2:13" x14ac:dyDescent="0.25">
      <c r="B332">
        <v>77</v>
      </c>
      <c r="C332" s="7">
        <v>45192</v>
      </c>
      <c r="D332" t="s">
        <v>119</v>
      </c>
      <c r="E332" t="str">
        <f>IFERROR(VLOOKUP(VendasSem4[[#This Row],[Produto]],cálculos!$I$3:$L$50,4,0),"")</f>
        <v>Kg</v>
      </c>
      <c r="F332">
        <v>2</v>
      </c>
      <c r="G332" s="6">
        <f>IFERROR(VLOOKUP(VendasSem4[[#This Row],[Produto]],cálculos!$I$3:$L$50,3,0),0)</f>
        <v>6.8</v>
      </c>
      <c r="H332" s="6">
        <f>IFERROR(VendasSem4[[#This Row],[Quantidade]]*VendasSem4[[#This Row],[Preço Unitário]],0)</f>
        <v>13.6</v>
      </c>
      <c r="I332" s="11"/>
      <c r="J332" t="s">
        <v>112</v>
      </c>
      <c r="K332" s="6">
        <f>IFERROR(IF(VendasSem4[[#This Row],[Id da Venda]]=B333,0,VLOOKUP(VendasSem4[[#This Row],[Região de Entrega]],cálculos!$B$5:$C$9,2,0)),0)</f>
        <v>0</v>
      </c>
      <c r="L332" s="6">
        <f>(VendasSem4[[#This Row],[Subtotal]]*(1-VendasSem4[[#This Row],[Desconto]])+VendasSem4[[#This Row],[Valor de Entrega]])</f>
        <v>13.6</v>
      </c>
      <c r="M332" s="6" t="str">
        <f>IF(VendasSem4[[#This Row],[Id da Venda]]=B333,"",SUMIF(VendasSem4[Id da Venda],VendasSem4[[#This Row],[Id da Venda]],VendasSem4[Total]))</f>
        <v/>
      </c>
    </row>
    <row r="333" spans="2:13" x14ac:dyDescent="0.25">
      <c r="B333">
        <v>77</v>
      </c>
      <c r="C333" s="7">
        <v>45192</v>
      </c>
      <c r="D333" t="s">
        <v>46</v>
      </c>
      <c r="E333" t="str">
        <f>IFERROR(VLOOKUP(VendasSem4[[#This Row],[Produto]],cálculos!$I$3:$L$50,4,0),"")</f>
        <v>Garrafa</v>
      </c>
      <c r="F333">
        <v>1</v>
      </c>
      <c r="G333" s="6">
        <f>IFERROR(VLOOKUP(VendasSem4[[#This Row],[Produto]],cálculos!$I$3:$L$50,3,0),0)</f>
        <v>54.9</v>
      </c>
      <c r="H333" s="6">
        <f>IFERROR(VendasSem4[[#This Row],[Quantidade]]*VendasSem4[[#This Row],[Preço Unitário]],0)</f>
        <v>54.9</v>
      </c>
      <c r="I333" s="11"/>
      <c r="J333" t="s">
        <v>112</v>
      </c>
      <c r="K333" s="6">
        <f>IFERROR(IF(VendasSem4[[#This Row],[Id da Venda]]=B334,0,VLOOKUP(VendasSem4[[#This Row],[Região de Entrega]],cálculos!$B$5:$C$9,2,0)),0)</f>
        <v>0</v>
      </c>
      <c r="L333" s="6">
        <f>(VendasSem4[[#This Row],[Subtotal]]*(1-VendasSem4[[#This Row],[Desconto]])+VendasSem4[[#This Row],[Valor de Entrega]])</f>
        <v>54.9</v>
      </c>
      <c r="M333" s="6" t="str">
        <f>IF(VendasSem4[[#This Row],[Id da Venda]]=B334,"",SUMIF(VendasSem4[Id da Venda],VendasSem4[[#This Row],[Id da Venda]],VendasSem4[Total]))</f>
        <v/>
      </c>
    </row>
    <row r="334" spans="2:13" x14ac:dyDescent="0.25">
      <c r="B334">
        <v>77</v>
      </c>
      <c r="C334" s="7">
        <v>45192</v>
      </c>
      <c r="D334" t="s">
        <v>136</v>
      </c>
      <c r="E334" t="str">
        <f>IFERROR(VLOOKUP(VendasSem4[[#This Row],[Produto]],cálculos!$I$3:$L$50,4,0),"")</f>
        <v>Unidade</v>
      </c>
      <c r="F334">
        <v>1</v>
      </c>
      <c r="G334" s="6">
        <f>IFERROR(VLOOKUP(VendasSem4[[#This Row],[Produto]],cálculos!$I$3:$L$50,3,0),0)</f>
        <v>10</v>
      </c>
      <c r="H334" s="6">
        <f>IFERROR(VendasSem4[[#This Row],[Quantidade]]*VendasSem4[[#This Row],[Preço Unitário]],0)</f>
        <v>10</v>
      </c>
      <c r="I334" s="11"/>
      <c r="J334" t="s">
        <v>112</v>
      </c>
      <c r="K334" s="6">
        <f>IFERROR(IF(VendasSem4[[#This Row],[Id da Venda]]=B335,0,VLOOKUP(VendasSem4[[#This Row],[Região de Entrega]],cálculos!$B$5:$C$9,2,0)),0)</f>
        <v>0</v>
      </c>
      <c r="L334" s="6">
        <f>(VendasSem4[[#This Row],[Subtotal]]*(1-VendasSem4[[#This Row],[Desconto]])+VendasSem4[[#This Row],[Valor de Entrega]])</f>
        <v>10</v>
      </c>
      <c r="M334" s="6" t="str">
        <f>IF(VendasSem4[[#This Row],[Id da Venda]]=B335,"",SUMIF(VendasSem4[Id da Venda],VendasSem4[[#This Row],[Id da Venda]],VendasSem4[Total]))</f>
        <v/>
      </c>
    </row>
    <row r="335" spans="2:13" x14ac:dyDescent="0.25">
      <c r="B335">
        <v>77</v>
      </c>
      <c r="C335" s="7">
        <v>45192</v>
      </c>
      <c r="D335" t="s">
        <v>131</v>
      </c>
      <c r="E335" t="str">
        <f>IFERROR(VLOOKUP(VendasSem4[[#This Row],[Produto]],cálculos!$I$3:$L$50,4,0),"")</f>
        <v>Kg</v>
      </c>
      <c r="F335">
        <v>1</v>
      </c>
      <c r="G335" s="6">
        <f>IFERROR(VLOOKUP(VendasSem4[[#This Row],[Produto]],cálculos!$I$3:$L$50,3,0),0)</f>
        <v>3</v>
      </c>
      <c r="H335" s="6">
        <f>IFERROR(VendasSem4[[#This Row],[Quantidade]]*VendasSem4[[#This Row],[Preço Unitário]],0)</f>
        <v>3</v>
      </c>
      <c r="I335" s="11"/>
      <c r="J335" t="s">
        <v>112</v>
      </c>
      <c r="K335" s="6">
        <f>IFERROR(IF(VendasSem4[[#This Row],[Id da Venda]]=B336,0,VLOOKUP(VendasSem4[[#This Row],[Região de Entrega]],cálculos!$B$5:$C$9,2,0)),0)</f>
        <v>0</v>
      </c>
      <c r="L335" s="6">
        <f>(VendasSem4[[#This Row],[Subtotal]]*(1-VendasSem4[[#This Row],[Desconto]])+VendasSem4[[#This Row],[Valor de Entrega]])</f>
        <v>3</v>
      </c>
      <c r="M335" s="6" t="str">
        <f>IF(VendasSem4[[#This Row],[Id da Venda]]=B336,"",SUMIF(VendasSem4[Id da Venda],VendasSem4[[#This Row],[Id da Venda]],VendasSem4[Total]))</f>
        <v/>
      </c>
    </row>
    <row r="336" spans="2:13" x14ac:dyDescent="0.25">
      <c r="B336">
        <v>77</v>
      </c>
      <c r="C336" s="7">
        <v>45192</v>
      </c>
      <c r="D336" t="s">
        <v>121</v>
      </c>
      <c r="E336" t="str">
        <f>IFERROR(VLOOKUP(VendasSem4[[#This Row],[Produto]],cálculos!$I$3:$L$50,4,0),"")</f>
        <v>Kg</v>
      </c>
      <c r="F336">
        <v>1</v>
      </c>
      <c r="G336" s="6">
        <f>IFERROR(VLOOKUP(VendasSem4[[#This Row],[Produto]],cálculos!$I$3:$L$50,3,0),0)</f>
        <v>12</v>
      </c>
      <c r="H336" s="6">
        <f>IFERROR(VendasSem4[[#This Row],[Quantidade]]*VendasSem4[[#This Row],[Preço Unitário]],0)</f>
        <v>12</v>
      </c>
      <c r="I336" s="11"/>
      <c r="J336" t="s">
        <v>112</v>
      </c>
      <c r="K336" s="6">
        <f>IFERROR(IF(VendasSem4[[#This Row],[Id da Venda]]=B337,0,VLOOKUP(VendasSem4[[#This Row],[Região de Entrega]],cálculos!$B$5:$C$9,2,0)),0)</f>
        <v>0</v>
      </c>
      <c r="L336" s="6">
        <f>(VendasSem4[[#This Row],[Subtotal]]*(1-VendasSem4[[#This Row],[Desconto]])+VendasSem4[[#This Row],[Valor de Entrega]])</f>
        <v>12</v>
      </c>
      <c r="M336" s="6" t="str">
        <f>IF(VendasSem4[[#This Row],[Id da Venda]]=B337,"",SUMIF(VendasSem4[Id da Venda],VendasSem4[[#This Row],[Id da Venda]],VendasSem4[Total]))</f>
        <v/>
      </c>
    </row>
    <row r="337" spans="2:13" x14ac:dyDescent="0.25">
      <c r="B337">
        <v>77</v>
      </c>
      <c r="C337" s="7">
        <v>45192</v>
      </c>
      <c r="D337" t="s">
        <v>36</v>
      </c>
      <c r="E337" t="str">
        <f>IFERROR(VLOOKUP(VendasSem4[[#This Row],[Produto]],cálculos!$I$3:$L$50,4,0),"")</f>
        <v>Kg</v>
      </c>
      <c r="F337">
        <v>10</v>
      </c>
      <c r="G337" s="6">
        <f>IFERROR(VLOOKUP(VendasSem4[[#This Row],[Produto]],cálculos!$I$3:$L$50,3,0),0)</f>
        <v>15.9</v>
      </c>
      <c r="H337" s="6">
        <f>IFERROR(VendasSem4[[#This Row],[Quantidade]]*VendasSem4[[#This Row],[Preço Unitário]],0)</f>
        <v>159</v>
      </c>
      <c r="I337" s="11"/>
      <c r="J337" t="s">
        <v>112</v>
      </c>
      <c r="K337" s="6">
        <f>IFERROR(IF(VendasSem4[[#This Row],[Id da Venda]]=B338,0,VLOOKUP(VendasSem4[[#This Row],[Região de Entrega]],cálculos!$B$5:$C$9,2,0)),0)</f>
        <v>0</v>
      </c>
      <c r="L337" s="6">
        <f>(VendasSem4[[#This Row],[Subtotal]]*(1-VendasSem4[[#This Row],[Desconto]])+VendasSem4[[#This Row],[Valor de Entrega]])</f>
        <v>159</v>
      </c>
      <c r="M337" s="6" t="str">
        <f>IF(VendasSem4[[#This Row],[Id da Venda]]=B338,"",SUMIF(VendasSem4[Id da Venda],VendasSem4[[#This Row],[Id da Venda]],VendasSem4[Total]))</f>
        <v/>
      </c>
    </row>
    <row r="338" spans="2:13" x14ac:dyDescent="0.25">
      <c r="B338">
        <v>77</v>
      </c>
      <c r="C338" s="7">
        <v>45192</v>
      </c>
      <c r="D338" t="s">
        <v>39</v>
      </c>
      <c r="E338" t="str">
        <f>IFERROR(VLOOKUP(VendasSem4[[#This Row],[Produto]],cálculos!$I$3:$L$50,4,0),"")</f>
        <v>Kg</v>
      </c>
      <c r="F338">
        <v>6</v>
      </c>
      <c r="G338" s="6">
        <f>IFERROR(VLOOKUP(VendasSem4[[#This Row],[Produto]],cálculos!$I$3:$L$50,3,0),0)</f>
        <v>25.9</v>
      </c>
      <c r="H338" s="6">
        <f>IFERROR(VendasSem4[[#This Row],[Quantidade]]*VendasSem4[[#This Row],[Preço Unitário]],0)</f>
        <v>155.39999999999998</v>
      </c>
      <c r="I338" s="11"/>
      <c r="J338" t="s">
        <v>112</v>
      </c>
      <c r="K338" s="6">
        <f>IFERROR(IF(VendasSem4[[#This Row],[Id da Venda]]=B339,0,VLOOKUP(VendasSem4[[#This Row],[Região de Entrega]],cálculos!$B$5:$C$9,2,0)),0)</f>
        <v>0</v>
      </c>
      <c r="L338" s="6">
        <f>(VendasSem4[[#This Row],[Subtotal]]*(1-VendasSem4[[#This Row],[Desconto]])+VendasSem4[[#This Row],[Valor de Entrega]])</f>
        <v>155.39999999999998</v>
      </c>
      <c r="M338" s="6" t="str">
        <f>IF(VendasSem4[[#This Row],[Id da Venda]]=B339,"",SUMIF(VendasSem4[Id da Venda],VendasSem4[[#This Row],[Id da Venda]],VendasSem4[Total]))</f>
        <v/>
      </c>
    </row>
    <row r="339" spans="2:13" x14ac:dyDescent="0.25">
      <c r="B339">
        <v>77</v>
      </c>
      <c r="C339" s="7">
        <v>45192</v>
      </c>
      <c r="D339" t="s">
        <v>134</v>
      </c>
      <c r="E339" t="str">
        <f>IFERROR(VLOOKUP(VendasSem4[[#This Row],[Produto]],cálculos!$I$3:$L$50,4,0),"")</f>
        <v>Kg</v>
      </c>
      <c r="F339">
        <v>2</v>
      </c>
      <c r="G339" s="6">
        <f>IFERROR(VLOOKUP(VendasSem4[[#This Row],[Produto]],cálculos!$I$3:$L$50,3,0),0)</f>
        <v>24</v>
      </c>
      <c r="H339" s="6">
        <f>IFERROR(VendasSem4[[#This Row],[Quantidade]]*VendasSem4[[#This Row],[Preço Unitário]],0)</f>
        <v>48</v>
      </c>
      <c r="I339" s="11"/>
      <c r="J339" t="s">
        <v>112</v>
      </c>
      <c r="K339" s="6">
        <f>IFERROR(IF(VendasSem4[[#This Row],[Id da Venda]]=B340,0,VLOOKUP(VendasSem4[[#This Row],[Região de Entrega]],cálculos!$B$5:$C$9,2,0)),0)</f>
        <v>0</v>
      </c>
      <c r="L339" s="6">
        <f>(VendasSem4[[#This Row],[Subtotal]]*(1-VendasSem4[[#This Row],[Desconto]])+VendasSem4[[#This Row],[Valor de Entrega]])</f>
        <v>48</v>
      </c>
      <c r="M339" s="6" t="str">
        <f>IF(VendasSem4[[#This Row],[Id da Venda]]=B340,"",SUMIF(VendasSem4[Id da Venda],VendasSem4[[#This Row],[Id da Venda]],VendasSem4[Total]))</f>
        <v/>
      </c>
    </row>
    <row r="340" spans="2:13" x14ac:dyDescent="0.25">
      <c r="B340">
        <v>77</v>
      </c>
      <c r="C340" s="7">
        <v>45192</v>
      </c>
      <c r="D340" t="s">
        <v>59</v>
      </c>
      <c r="E340" t="str">
        <f>IFERROR(VLOOKUP(VendasSem4[[#This Row],[Produto]],cálculos!$I$3:$L$50,4,0),"")</f>
        <v>Pacote</v>
      </c>
      <c r="F340">
        <v>1</v>
      </c>
      <c r="G340" s="6">
        <f>IFERROR(VLOOKUP(VendasSem4[[#This Row],[Produto]],cálculos!$I$3:$L$50,3,0),0)</f>
        <v>1.1499999999999999</v>
      </c>
      <c r="H340" s="6">
        <f>IFERROR(VendasSem4[[#This Row],[Quantidade]]*VendasSem4[[#This Row],[Preço Unitário]],0)</f>
        <v>1.1499999999999999</v>
      </c>
      <c r="I340" s="11"/>
      <c r="J340" t="s">
        <v>112</v>
      </c>
      <c r="K340" s="6">
        <f>IFERROR(IF(VendasSem4[[#This Row],[Id da Venda]]=B341,0,VLOOKUP(VendasSem4[[#This Row],[Região de Entrega]],cálculos!$B$5:$C$9,2,0)),0)</f>
        <v>0</v>
      </c>
      <c r="L340" s="6">
        <f>(VendasSem4[[#This Row],[Subtotal]]*(1-VendasSem4[[#This Row],[Desconto]])+VendasSem4[[#This Row],[Valor de Entrega]])</f>
        <v>1.1499999999999999</v>
      </c>
      <c r="M340" s="6" t="str">
        <f>IF(VendasSem4[[#This Row],[Id da Venda]]=B341,"",SUMIF(VendasSem4[Id da Venda],VendasSem4[[#This Row],[Id da Venda]],VendasSem4[Total]))</f>
        <v/>
      </c>
    </row>
    <row r="341" spans="2:13" x14ac:dyDescent="0.25">
      <c r="B341">
        <v>77</v>
      </c>
      <c r="C341" s="7">
        <v>45192</v>
      </c>
      <c r="D341" t="s">
        <v>127</v>
      </c>
      <c r="E341" t="str">
        <f>IFERROR(VLOOKUP(VendasSem4[[#This Row],[Produto]],cálculos!$I$3:$L$50,4,0),"")</f>
        <v>Kg</v>
      </c>
      <c r="F341">
        <v>2</v>
      </c>
      <c r="G341" s="6">
        <f>IFERROR(VLOOKUP(VendasSem4[[#This Row],[Produto]],cálculos!$I$3:$L$50,3,0),0)</f>
        <v>6.9</v>
      </c>
      <c r="H341" s="6">
        <f>IFERROR(VendasSem4[[#This Row],[Quantidade]]*VendasSem4[[#This Row],[Preço Unitário]],0)</f>
        <v>13.8</v>
      </c>
      <c r="I341" s="11"/>
      <c r="J341" t="s">
        <v>112</v>
      </c>
      <c r="K341" s="6">
        <f>IFERROR(IF(VendasSem4[[#This Row],[Id da Venda]]=B342,0,VLOOKUP(VendasSem4[[#This Row],[Região de Entrega]],cálculos!$B$5:$C$9,2,0)),0)</f>
        <v>0</v>
      </c>
      <c r="L341" s="6">
        <f>(VendasSem4[[#This Row],[Subtotal]]*(1-VendasSem4[[#This Row],[Desconto]])+VendasSem4[[#This Row],[Valor de Entrega]])</f>
        <v>13.8</v>
      </c>
      <c r="M341" s="6" t="str">
        <f>IF(VendasSem4[[#This Row],[Id da Venda]]=B342,"",SUMIF(VendasSem4[Id da Venda],VendasSem4[[#This Row],[Id da Venda]],VendasSem4[Total]))</f>
        <v/>
      </c>
    </row>
    <row r="342" spans="2:13" x14ac:dyDescent="0.25">
      <c r="B342">
        <v>77</v>
      </c>
      <c r="C342" s="7">
        <v>45192</v>
      </c>
      <c r="D342" t="s">
        <v>128</v>
      </c>
      <c r="E342" t="str">
        <f>IFERROR(VLOOKUP(VendasSem4[[#This Row],[Produto]],cálculos!$I$3:$L$50,4,0),"")</f>
        <v>Kg</v>
      </c>
      <c r="F342">
        <v>1</v>
      </c>
      <c r="G342" s="6">
        <f>IFERROR(VLOOKUP(VendasSem4[[#This Row],[Produto]],cálculos!$I$3:$L$50,3,0),0)</f>
        <v>10</v>
      </c>
      <c r="H342" s="6">
        <f>IFERROR(VendasSem4[[#This Row],[Quantidade]]*VendasSem4[[#This Row],[Preço Unitário]],0)</f>
        <v>10</v>
      </c>
      <c r="I342" s="11"/>
      <c r="J342" t="s">
        <v>112</v>
      </c>
      <c r="K342" s="6">
        <f>IFERROR(IF(VendasSem4[[#This Row],[Id da Venda]]=B343,0,VLOOKUP(VendasSem4[[#This Row],[Região de Entrega]],cálculos!$B$5:$C$9,2,0)),0)</f>
        <v>0</v>
      </c>
      <c r="L342" s="6">
        <f>(VendasSem4[[#This Row],[Subtotal]]*(1-VendasSem4[[#This Row],[Desconto]])+VendasSem4[[#This Row],[Valor de Entrega]])</f>
        <v>10</v>
      </c>
      <c r="M342" s="6" t="str">
        <f>IF(VendasSem4[[#This Row],[Id da Venda]]=B343,"",SUMIF(VendasSem4[Id da Venda],VendasSem4[[#This Row],[Id da Venda]],VendasSem4[Total]))</f>
        <v/>
      </c>
    </row>
    <row r="343" spans="2:13" x14ac:dyDescent="0.25">
      <c r="B343">
        <v>77</v>
      </c>
      <c r="C343" s="7">
        <v>45192</v>
      </c>
      <c r="D343" t="s">
        <v>130</v>
      </c>
      <c r="E343" t="str">
        <f>IFERROR(VLOOKUP(VendasSem4[[#This Row],[Produto]],cálculos!$I$3:$L$50,4,0),"")</f>
        <v>Kg</v>
      </c>
      <c r="F343">
        <v>1</v>
      </c>
      <c r="G343" s="6">
        <f>IFERROR(VLOOKUP(VendasSem4[[#This Row],[Produto]],cálculos!$I$3:$L$50,3,0),0)</f>
        <v>2.8</v>
      </c>
      <c r="H343" s="6">
        <f>IFERROR(VendasSem4[[#This Row],[Quantidade]]*VendasSem4[[#This Row],[Preço Unitário]],0)</f>
        <v>2.8</v>
      </c>
      <c r="I343" s="11"/>
      <c r="J343" t="s">
        <v>112</v>
      </c>
      <c r="K343" s="6">
        <f>IFERROR(IF(VendasSem4[[#This Row],[Id da Venda]]=B344,0,VLOOKUP(VendasSem4[[#This Row],[Região de Entrega]],cálculos!$B$5:$C$9,2,0)),0)</f>
        <v>0</v>
      </c>
      <c r="L343" s="6">
        <f>(VendasSem4[[#This Row],[Subtotal]]*(1-VendasSem4[[#This Row],[Desconto]])+VendasSem4[[#This Row],[Valor de Entrega]])</f>
        <v>2.8</v>
      </c>
      <c r="M343" s="6" t="str">
        <f>IF(VendasSem4[[#This Row],[Id da Venda]]=B344,"",SUMIF(VendasSem4[Id da Venda],VendasSem4[[#This Row],[Id da Venda]],VendasSem4[Total]))</f>
        <v/>
      </c>
    </row>
    <row r="344" spans="2:13" x14ac:dyDescent="0.25">
      <c r="B344">
        <v>77</v>
      </c>
      <c r="C344" s="7">
        <v>45192</v>
      </c>
      <c r="D344" t="s">
        <v>122</v>
      </c>
      <c r="E344" t="str">
        <f>IFERROR(VLOOKUP(VendasSem4[[#This Row],[Produto]],cálculos!$I$3:$L$50,4,0),"")</f>
        <v>Kg</v>
      </c>
      <c r="F344">
        <v>2</v>
      </c>
      <c r="G344" s="6">
        <f>IFERROR(VLOOKUP(VendasSem4[[#This Row],[Produto]],cálculos!$I$3:$L$50,3,0),0)</f>
        <v>7</v>
      </c>
      <c r="H344" s="6">
        <f>IFERROR(VendasSem4[[#This Row],[Quantidade]]*VendasSem4[[#This Row],[Preço Unitário]],0)</f>
        <v>14</v>
      </c>
      <c r="I344" s="11"/>
      <c r="J344" t="s">
        <v>112</v>
      </c>
      <c r="K344" s="6">
        <f>IFERROR(IF(VendasSem4[[#This Row],[Id da Venda]]=B345,0,VLOOKUP(VendasSem4[[#This Row],[Região de Entrega]],cálculos!$B$5:$C$9,2,0)),0)</f>
        <v>0</v>
      </c>
      <c r="L344" s="6">
        <f>(VendasSem4[[#This Row],[Subtotal]]*(1-VendasSem4[[#This Row],[Desconto]])+VendasSem4[[#This Row],[Valor de Entrega]])</f>
        <v>14</v>
      </c>
      <c r="M344" s="6" t="str">
        <f>IF(VendasSem4[[#This Row],[Id da Venda]]=B345,"",SUMIF(VendasSem4[Id da Venda],VendasSem4[[#This Row],[Id da Venda]],VendasSem4[Total]))</f>
        <v/>
      </c>
    </row>
    <row r="345" spans="2:13" x14ac:dyDescent="0.25">
      <c r="B345">
        <v>77</v>
      </c>
      <c r="C345" s="7">
        <v>45192</v>
      </c>
      <c r="D345" t="s">
        <v>43</v>
      </c>
      <c r="E345" t="str">
        <f>IFERROR(VLOOKUP(VendasSem4[[#This Row],[Produto]],cálculos!$I$3:$L$50,4,0),"")</f>
        <v>Kg</v>
      </c>
      <c r="F345">
        <v>1</v>
      </c>
      <c r="G345" s="6">
        <f>IFERROR(VLOOKUP(VendasSem4[[#This Row],[Produto]],cálculos!$I$3:$L$50,3,0),0)</f>
        <v>9.58</v>
      </c>
      <c r="H345" s="6">
        <f>IFERROR(VendasSem4[[#This Row],[Quantidade]]*VendasSem4[[#This Row],[Preço Unitário]],0)</f>
        <v>9.58</v>
      </c>
      <c r="I345" s="11"/>
      <c r="J345" t="s">
        <v>112</v>
      </c>
      <c r="K345" s="6">
        <f>IFERROR(IF(VendasSem4[[#This Row],[Id da Venda]]=B346,0,VLOOKUP(VendasSem4[[#This Row],[Região de Entrega]],cálculos!$B$5:$C$9,2,0)),0)</f>
        <v>0</v>
      </c>
      <c r="L345" s="6">
        <f>(VendasSem4[[#This Row],[Subtotal]]*(1-VendasSem4[[#This Row],[Desconto]])+VendasSem4[[#This Row],[Valor de Entrega]])</f>
        <v>9.58</v>
      </c>
      <c r="M345" s="6" t="str">
        <f>IF(VendasSem4[[#This Row],[Id da Venda]]=B346,"",SUMIF(VendasSem4[Id da Venda],VendasSem4[[#This Row],[Id da Venda]],VendasSem4[Total]))</f>
        <v/>
      </c>
    </row>
    <row r="346" spans="2:13" x14ac:dyDescent="0.25">
      <c r="B346">
        <v>77</v>
      </c>
      <c r="C346" s="7">
        <v>45192</v>
      </c>
      <c r="D346" t="s">
        <v>34</v>
      </c>
      <c r="E346" t="str">
        <f>IFERROR(VLOOKUP(VendasSem4[[#This Row],[Produto]],cálculos!$I$3:$L$50,4,0),"")</f>
        <v>Kg</v>
      </c>
      <c r="F346">
        <v>5</v>
      </c>
      <c r="G346" s="6">
        <f>IFERROR(VLOOKUP(VendasSem4[[#This Row],[Produto]],cálculos!$I$3:$L$50,3,0),0)</f>
        <v>5.82</v>
      </c>
      <c r="H346" s="6">
        <f>IFERROR(VendasSem4[[#This Row],[Quantidade]]*VendasSem4[[#This Row],[Preço Unitário]],0)</f>
        <v>29.1</v>
      </c>
      <c r="I346" s="11"/>
      <c r="J346" t="s">
        <v>112</v>
      </c>
      <c r="K346" s="6">
        <f>IFERROR(IF(VendasSem4[[#This Row],[Id da Venda]]=B347,0,VLOOKUP(VendasSem4[[#This Row],[Região de Entrega]],cálculos!$B$5:$C$9,2,0)),0)</f>
        <v>0</v>
      </c>
      <c r="L346" s="6">
        <f>(VendasSem4[[#This Row],[Subtotal]]*(1-VendasSem4[[#This Row],[Desconto]])+VendasSem4[[#This Row],[Valor de Entrega]])</f>
        <v>29.1</v>
      </c>
      <c r="M346" s="6" t="str">
        <f>IF(VendasSem4[[#This Row],[Id da Venda]]=B347,"",SUMIF(VendasSem4[Id da Venda],VendasSem4[[#This Row],[Id da Venda]],VendasSem4[Total]))</f>
        <v/>
      </c>
    </row>
    <row r="347" spans="2:13" x14ac:dyDescent="0.25">
      <c r="B347">
        <v>77</v>
      </c>
      <c r="C347" s="7">
        <v>45192</v>
      </c>
      <c r="D347" t="s">
        <v>57</v>
      </c>
      <c r="E347" t="str">
        <f>IFERROR(VLOOKUP(VendasSem4[[#This Row],[Produto]],cálculos!$I$3:$L$50,4,0),"")</f>
        <v>Barra</v>
      </c>
      <c r="F347">
        <v>1</v>
      </c>
      <c r="G347" s="6">
        <f>IFERROR(VLOOKUP(VendasSem4[[#This Row],[Produto]],cálculos!$I$3:$L$50,3,0),0)</f>
        <v>4.99</v>
      </c>
      <c r="H347" s="6">
        <f>IFERROR(VendasSem4[[#This Row],[Quantidade]]*VendasSem4[[#This Row],[Preço Unitário]],0)</f>
        <v>4.99</v>
      </c>
      <c r="I347" s="11"/>
      <c r="J347" t="s">
        <v>112</v>
      </c>
      <c r="K347" s="6">
        <f>IFERROR(IF(VendasSem4[[#This Row],[Id da Venda]]=B348,0,VLOOKUP(VendasSem4[[#This Row],[Região de Entrega]],cálculos!$B$5:$C$9,2,0)),0)</f>
        <v>0</v>
      </c>
      <c r="L347" s="6">
        <f>(VendasSem4[[#This Row],[Subtotal]]*(1-VendasSem4[[#This Row],[Desconto]])+VendasSem4[[#This Row],[Valor de Entrega]])</f>
        <v>4.99</v>
      </c>
      <c r="M347" s="6" t="str">
        <f>IF(VendasSem4[[#This Row],[Id da Venda]]=B348,"",SUMIF(VendasSem4[Id da Venda],VendasSem4[[#This Row],[Id da Venda]],VendasSem4[Total]))</f>
        <v/>
      </c>
    </row>
    <row r="348" spans="2:13" x14ac:dyDescent="0.25">
      <c r="B348">
        <v>77</v>
      </c>
      <c r="C348" s="7">
        <v>45192</v>
      </c>
      <c r="D348" t="s">
        <v>35</v>
      </c>
      <c r="E348" t="str">
        <f>IFERROR(VLOOKUP(VendasSem4[[#This Row],[Produto]],cálculos!$I$3:$L$50,4,0),"")</f>
        <v>Unidade</v>
      </c>
      <c r="F348">
        <v>1</v>
      </c>
      <c r="G348" s="6">
        <f>IFERROR(VLOOKUP(VendasSem4[[#This Row],[Produto]],cálculos!$I$3:$L$50,3,0),0)</f>
        <v>2.99</v>
      </c>
      <c r="H348" s="6">
        <f>IFERROR(VendasSem4[[#This Row],[Quantidade]]*VendasSem4[[#This Row],[Preço Unitário]],0)</f>
        <v>2.99</v>
      </c>
      <c r="I348" s="11"/>
      <c r="J348" t="s">
        <v>112</v>
      </c>
      <c r="K348" s="6">
        <f>IFERROR(IF(VendasSem4[[#This Row],[Id da Venda]]=B349,0,VLOOKUP(VendasSem4[[#This Row],[Região de Entrega]],cálculos!$B$5:$C$9,2,0)),0)</f>
        <v>0</v>
      </c>
      <c r="L348" s="6">
        <f>(VendasSem4[[#This Row],[Subtotal]]*(1-VendasSem4[[#This Row],[Desconto]])+VendasSem4[[#This Row],[Valor de Entrega]])</f>
        <v>2.99</v>
      </c>
      <c r="M348" s="6" t="str">
        <f>IF(VendasSem4[[#This Row],[Id da Venda]]=B349,"",SUMIF(VendasSem4[Id da Venda],VendasSem4[[#This Row],[Id da Venda]],VendasSem4[Total]))</f>
        <v/>
      </c>
    </row>
    <row r="349" spans="2:13" x14ac:dyDescent="0.25">
      <c r="B349">
        <v>77</v>
      </c>
      <c r="C349" s="7">
        <v>45192</v>
      </c>
      <c r="D349" t="s">
        <v>123</v>
      </c>
      <c r="E349" t="str">
        <f>IFERROR(VLOOKUP(VendasSem4[[#This Row],[Produto]],cálculos!$I$3:$L$50,4,0),"")</f>
        <v>Kg</v>
      </c>
      <c r="F349">
        <v>2</v>
      </c>
      <c r="G349" s="6">
        <f>IFERROR(VLOOKUP(VendasSem4[[#This Row],[Produto]],cálculos!$I$3:$L$50,3,0),0)</f>
        <v>8</v>
      </c>
      <c r="H349" s="6">
        <f>IFERROR(VendasSem4[[#This Row],[Quantidade]]*VendasSem4[[#This Row],[Preço Unitário]],0)</f>
        <v>16</v>
      </c>
      <c r="I349" s="11"/>
      <c r="J349" t="s">
        <v>112</v>
      </c>
      <c r="K349" s="6">
        <f>IFERROR(IF(VendasSem4[[#This Row],[Id da Venda]]=B350,0,VLOOKUP(VendasSem4[[#This Row],[Região de Entrega]],cálculos!$B$5:$C$9,2,0)),0)</f>
        <v>0</v>
      </c>
      <c r="L349" s="6">
        <f>(VendasSem4[[#This Row],[Subtotal]]*(1-VendasSem4[[#This Row],[Desconto]])+VendasSem4[[#This Row],[Valor de Entrega]])</f>
        <v>16</v>
      </c>
      <c r="M349" s="6" t="str">
        <f>IF(VendasSem4[[#This Row],[Id da Venda]]=B350,"",SUMIF(VendasSem4[Id da Venda],VendasSem4[[#This Row],[Id da Venda]],VendasSem4[Total]))</f>
        <v/>
      </c>
    </row>
    <row r="350" spans="2:13" x14ac:dyDescent="0.25">
      <c r="B350">
        <v>77</v>
      </c>
      <c r="C350" s="7">
        <v>45192</v>
      </c>
      <c r="D350" t="s">
        <v>41</v>
      </c>
      <c r="E350" t="str">
        <f>IFERROR(VLOOKUP(VendasSem4[[#This Row],[Produto]],cálculos!$I$3:$L$50,4,0),"")</f>
        <v>Litro</v>
      </c>
      <c r="F350">
        <v>3</v>
      </c>
      <c r="G350" s="6">
        <f>IFERROR(VLOOKUP(VendasSem4[[#This Row],[Produto]],cálculos!$I$3:$L$50,3,0),0)</f>
        <v>3.45</v>
      </c>
      <c r="H350" s="6">
        <f>IFERROR(VendasSem4[[#This Row],[Quantidade]]*VendasSem4[[#This Row],[Preço Unitário]],0)</f>
        <v>10.350000000000001</v>
      </c>
      <c r="I350" s="11"/>
      <c r="J350" t="s">
        <v>112</v>
      </c>
      <c r="K350" s="6">
        <f>IFERROR(IF(VendasSem4[[#This Row],[Id da Venda]]=B351,0,VLOOKUP(VendasSem4[[#This Row],[Região de Entrega]],cálculos!$B$5:$C$9,2,0)),0)</f>
        <v>7</v>
      </c>
      <c r="L350" s="6">
        <f>(VendasSem4[[#This Row],[Subtotal]]*(1-VendasSem4[[#This Row],[Desconto]])+VendasSem4[[#This Row],[Valor de Entrega]])</f>
        <v>17.350000000000001</v>
      </c>
      <c r="M350" s="6">
        <f>IF(VendasSem4[[#This Row],[Id da Venda]]=B351,"",SUMIF(VendasSem4[Id da Venda],VendasSem4[[#This Row],[Id da Venda]],VendasSem4[Total]))</f>
        <v>588.61</v>
      </c>
    </row>
    <row r="351" spans="2:13" x14ac:dyDescent="0.25">
      <c r="B351">
        <v>78</v>
      </c>
      <c r="C351" s="7">
        <v>45192</v>
      </c>
      <c r="D351" t="s">
        <v>118</v>
      </c>
      <c r="E351" t="str">
        <f>IFERROR(VLOOKUP(VendasSem4[[#This Row],[Produto]],cálculos!$I$3:$L$50,4,0),"")</f>
        <v>Kg</v>
      </c>
      <c r="F351">
        <v>2</v>
      </c>
      <c r="G351" s="6">
        <f>IFERROR(VLOOKUP(VendasSem4[[#This Row],[Produto]],cálculos!$I$3:$L$50,3,0),0)</f>
        <v>4</v>
      </c>
      <c r="H351" s="6">
        <f>IFERROR(VendasSem4[[#This Row],[Quantidade]]*VendasSem4[[#This Row],[Preço Unitário]],0)</f>
        <v>8</v>
      </c>
      <c r="I351" s="11"/>
      <c r="J351" t="s">
        <v>109</v>
      </c>
      <c r="K351" s="6">
        <f>IFERROR(IF(VendasSem4[[#This Row],[Id da Venda]]=B352,0,VLOOKUP(VendasSem4[[#This Row],[Região de Entrega]],cálculos!$B$5:$C$9,2,0)),0)</f>
        <v>0</v>
      </c>
      <c r="L351" s="6">
        <f>(VendasSem4[[#This Row],[Subtotal]]*(1-VendasSem4[[#This Row],[Desconto]])+VendasSem4[[#This Row],[Valor de Entrega]])</f>
        <v>8</v>
      </c>
      <c r="M351" s="6" t="str">
        <f>IF(VendasSem4[[#This Row],[Id da Venda]]=B352,"",SUMIF(VendasSem4[Id da Venda],VendasSem4[[#This Row],[Id da Venda]],VendasSem4[Total]))</f>
        <v/>
      </c>
    </row>
    <row r="352" spans="2:13" x14ac:dyDescent="0.25">
      <c r="B352">
        <v>78</v>
      </c>
      <c r="C352" s="7">
        <v>45192</v>
      </c>
      <c r="D352" t="s">
        <v>35</v>
      </c>
      <c r="E352" t="str">
        <f>IFERROR(VLOOKUP(VendasSem4[[#This Row],[Produto]],cálculos!$I$3:$L$50,4,0),"")</f>
        <v>Unidade</v>
      </c>
      <c r="F352">
        <v>3</v>
      </c>
      <c r="G352" s="6">
        <f>IFERROR(VLOOKUP(VendasSem4[[#This Row],[Produto]],cálculos!$I$3:$L$50,3,0),0)</f>
        <v>2.99</v>
      </c>
      <c r="H352" s="6">
        <f>IFERROR(VendasSem4[[#This Row],[Quantidade]]*VendasSem4[[#This Row],[Preço Unitário]],0)</f>
        <v>8.9700000000000006</v>
      </c>
      <c r="I352" s="11"/>
      <c r="J352" t="s">
        <v>109</v>
      </c>
      <c r="K352" s="6">
        <f>IFERROR(IF(VendasSem4[[#This Row],[Id da Venda]]=B353,0,VLOOKUP(VendasSem4[[#This Row],[Região de Entrega]],cálculos!$B$5:$C$9,2,0)),0)</f>
        <v>0</v>
      </c>
      <c r="L352" s="6">
        <f>(VendasSem4[[#This Row],[Subtotal]]*(1-VendasSem4[[#This Row],[Desconto]])+VendasSem4[[#This Row],[Valor de Entrega]])</f>
        <v>8.9700000000000006</v>
      </c>
      <c r="M352" s="6" t="str">
        <f>IF(VendasSem4[[#This Row],[Id da Venda]]=B353,"",SUMIF(VendasSem4[Id da Venda],VendasSem4[[#This Row],[Id da Venda]],VendasSem4[Total]))</f>
        <v/>
      </c>
    </row>
    <row r="353" spans="2:13" x14ac:dyDescent="0.25">
      <c r="B353">
        <v>78</v>
      </c>
      <c r="C353" s="7">
        <v>45192</v>
      </c>
      <c r="D353" t="s">
        <v>66</v>
      </c>
      <c r="E353" t="str">
        <f>IFERROR(VLOOKUP(VendasSem4[[#This Row],[Produto]],cálculos!$I$3:$L$50,4,0),"")</f>
        <v>Litro</v>
      </c>
      <c r="F353">
        <v>5</v>
      </c>
      <c r="G353" s="6">
        <f>IFERROR(VLOOKUP(VendasSem4[[#This Row],[Produto]],cálculos!$I$3:$L$50,3,0),0)</f>
        <v>1.49</v>
      </c>
      <c r="H353" s="6">
        <f>IFERROR(VendasSem4[[#This Row],[Quantidade]]*VendasSem4[[#This Row],[Preço Unitário]],0)</f>
        <v>7.45</v>
      </c>
      <c r="I353" s="11"/>
      <c r="J353" t="s">
        <v>109</v>
      </c>
      <c r="K353" s="6">
        <f>IFERROR(IF(VendasSem4[[#This Row],[Id da Venda]]=B354,0,VLOOKUP(VendasSem4[[#This Row],[Região de Entrega]],cálculos!$B$5:$C$9,2,0)),0)</f>
        <v>0</v>
      </c>
      <c r="L353" s="6">
        <f>(VendasSem4[[#This Row],[Subtotal]]*(1-VendasSem4[[#This Row],[Desconto]])+VendasSem4[[#This Row],[Valor de Entrega]])</f>
        <v>7.45</v>
      </c>
      <c r="M353" s="6" t="str">
        <f>IF(VendasSem4[[#This Row],[Id da Venda]]=B354,"",SUMIF(VendasSem4[Id da Venda],VendasSem4[[#This Row],[Id da Venda]],VendasSem4[Total]))</f>
        <v/>
      </c>
    </row>
    <row r="354" spans="2:13" x14ac:dyDescent="0.25">
      <c r="B354">
        <v>78</v>
      </c>
      <c r="C354" s="7">
        <v>45192</v>
      </c>
      <c r="D354" t="s">
        <v>59</v>
      </c>
      <c r="E354" t="str">
        <f>IFERROR(VLOOKUP(VendasSem4[[#This Row],[Produto]],cálculos!$I$3:$L$50,4,0),"")</f>
        <v>Pacote</v>
      </c>
      <c r="F354">
        <v>1</v>
      </c>
      <c r="G354" s="6">
        <f>IFERROR(VLOOKUP(VendasSem4[[#This Row],[Produto]],cálculos!$I$3:$L$50,3,0),0)</f>
        <v>1.1499999999999999</v>
      </c>
      <c r="H354" s="6">
        <f>IFERROR(VendasSem4[[#This Row],[Quantidade]]*VendasSem4[[#This Row],[Preço Unitário]],0)</f>
        <v>1.1499999999999999</v>
      </c>
      <c r="I354" s="11"/>
      <c r="J354" t="s">
        <v>109</v>
      </c>
      <c r="K354" s="6">
        <f>IFERROR(IF(VendasSem4[[#This Row],[Id da Venda]]=B355,0,VLOOKUP(VendasSem4[[#This Row],[Região de Entrega]],cálculos!$B$5:$C$9,2,0)),0)</f>
        <v>0</v>
      </c>
      <c r="L354" s="6">
        <f>(VendasSem4[[#This Row],[Subtotal]]*(1-VendasSem4[[#This Row],[Desconto]])+VendasSem4[[#This Row],[Valor de Entrega]])</f>
        <v>1.1499999999999999</v>
      </c>
      <c r="M354" s="6" t="str">
        <f>IF(VendasSem4[[#This Row],[Id da Venda]]=B355,"",SUMIF(VendasSem4[Id da Venda],VendasSem4[[#This Row],[Id da Venda]],VendasSem4[Total]))</f>
        <v/>
      </c>
    </row>
    <row r="355" spans="2:13" x14ac:dyDescent="0.25">
      <c r="B355">
        <v>78</v>
      </c>
      <c r="C355" s="7">
        <v>45192</v>
      </c>
      <c r="D355" t="s">
        <v>58</v>
      </c>
      <c r="E355" t="str">
        <f>IFERROR(VLOOKUP(VendasSem4[[#This Row],[Produto]],cálculos!$I$3:$L$50,4,0),"")</f>
        <v>Maço</v>
      </c>
      <c r="F355">
        <v>2</v>
      </c>
      <c r="G355" s="6">
        <f>IFERROR(VLOOKUP(VendasSem4[[#This Row],[Produto]],cálculos!$I$3:$L$50,3,0),0)</f>
        <v>6.75</v>
      </c>
      <c r="H355" s="6">
        <f>IFERROR(VendasSem4[[#This Row],[Quantidade]]*VendasSem4[[#This Row],[Preço Unitário]],0)</f>
        <v>13.5</v>
      </c>
      <c r="I355" s="11"/>
      <c r="J355" t="s">
        <v>109</v>
      </c>
      <c r="K355" s="6">
        <f>IFERROR(IF(VendasSem4[[#This Row],[Id da Venda]]=B356,0,VLOOKUP(VendasSem4[[#This Row],[Região de Entrega]],cálculos!$B$5:$C$9,2,0)),0)</f>
        <v>0</v>
      </c>
      <c r="L355" s="6">
        <f>(VendasSem4[[#This Row],[Subtotal]]*(1-VendasSem4[[#This Row],[Desconto]])+VendasSem4[[#This Row],[Valor de Entrega]])</f>
        <v>13.5</v>
      </c>
      <c r="M355" s="6" t="str">
        <f>IF(VendasSem4[[#This Row],[Id da Venda]]=B356,"",SUMIF(VendasSem4[Id da Venda],VendasSem4[[#This Row],[Id da Venda]],VendasSem4[Total]))</f>
        <v/>
      </c>
    </row>
    <row r="356" spans="2:13" x14ac:dyDescent="0.25">
      <c r="B356">
        <v>78</v>
      </c>
      <c r="C356" s="7">
        <v>45192</v>
      </c>
      <c r="D356" t="s">
        <v>123</v>
      </c>
      <c r="E356" t="str">
        <f>IFERROR(VLOOKUP(VendasSem4[[#This Row],[Produto]],cálculos!$I$3:$L$50,4,0),"")</f>
        <v>Kg</v>
      </c>
      <c r="F356">
        <v>2</v>
      </c>
      <c r="G356" s="6">
        <f>IFERROR(VLOOKUP(VendasSem4[[#This Row],[Produto]],cálculos!$I$3:$L$50,3,0),0)</f>
        <v>8</v>
      </c>
      <c r="H356" s="6">
        <f>IFERROR(VendasSem4[[#This Row],[Quantidade]]*VendasSem4[[#This Row],[Preço Unitário]],0)</f>
        <v>16</v>
      </c>
      <c r="I356" s="11"/>
      <c r="J356" t="s">
        <v>109</v>
      </c>
      <c r="K356" s="6">
        <f>IFERROR(IF(VendasSem4[[#This Row],[Id da Venda]]=B357,0,VLOOKUP(VendasSem4[[#This Row],[Região de Entrega]],cálculos!$B$5:$C$9,2,0)),0)</f>
        <v>0</v>
      </c>
      <c r="L356" s="6">
        <f>(VendasSem4[[#This Row],[Subtotal]]*(1-VendasSem4[[#This Row],[Desconto]])+VendasSem4[[#This Row],[Valor de Entrega]])</f>
        <v>16</v>
      </c>
      <c r="M356" s="6">
        <f>IF(VendasSem4[[#This Row],[Id da Venda]]=B357,"",SUMIF(VendasSem4[Id da Venda],VendasSem4[[#This Row],[Id da Venda]],VendasSem4[Total]))</f>
        <v>55.069999999999993</v>
      </c>
    </row>
    <row r="357" spans="2:13" x14ac:dyDescent="0.25">
      <c r="B357">
        <v>79</v>
      </c>
      <c r="C357" s="7">
        <v>45192</v>
      </c>
      <c r="D357" t="s">
        <v>42</v>
      </c>
      <c r="E357" t="str">
        <f>IFERROR(VLOOKUP(VendasSem4[[#This Row],[Produto]],cálculos!$I$3:$L$50,4,0),"")</f>
        <v>Kg</v>
      </c>
      <c r="F357">
        <v>2</v>
      </c>
      <c r="G357" s="6">
        <f>IFERROR(VLOOKUP(VendasSem4[[#This Row],[Produto]],cálculos!$I$3:$L$50,3,0),0)</f>
        <v>3.99</v>
      </c>
      <c r="H357" s="6">
        <f>IFERROR(VendasSem4[[#This Row],[Quantidade]]*VendasSem4[[#This Row],[Preço Unitário]],0)</f>
        <v>7.98</v>
      </c>
      <c r="I357" s="11"/>
      <c r="J357" t="s">
        <v>109</v>
      </c>
      <c r="K357" s="6">
        <f>IFERROR(IF(VendasSem4[[#This Row],[Id da Venda]]=B358,0,VLOOKUP(VendasSem4[[#This Row],[Região de Entrega]],cálculos!$B$5:$C$9,2,0)),0)</f>
        <v>0</v>
      </c>
      <c r="L357" s="6">
        <f>(VendasSem4[[#This Row],[Subtotal]]*(1-VendasSem4[[#This Row],[Desconto]])+VendasSem4[[#This Row],[Valor de Entrega]])</f>
        <v>7.98</v>
      </c>
      <c r="M357" s="6" t="str">
        <f>IF(VendasSem4[[#This Row],[Id da Venda]]=B358,"",SUMIF(VendasSem4[Id da Venda],VendasSem4[[#This Row],[Id da Venda]],VendasSem4[Total]))</f>
        <v/>
      </c>
    </row>
    <row r="358" spans="2:13" x14ac:dyDescent="0.25">
      <c r="B358">
        <v>79</v>
      </c>
      <c r="C358" s="7">
        <v>45192</v>
      </c>
      <c r="D358" t="s">
        <v>121</v>
      </c>
      <c r="E358" t="str">
        <f>IFERROR(VLOOKUP(VendasSem4[[#This Row],[Produto]],cálculos!$I$3:$L$50,4,0),"")</f>
        <v>Kg</v>
      </c>
      <c r="F358">
        <v>1</v>
      </c>
      <c r="G358" s="6">
        <f>IFERROR(VLOOKUP(VendasSem4[[#This Row],[Produto]],cálculos!$I$3:$L$50,3,0),0)</f>
        <v>12</v>
      </c>
      <c r="H358" s="6">
        <f>IFERROR(VendasSem4[[#This Row],[Quantidade]]*VendasSem4[[#This Row],[Preço Unitário]],0)</f>
        <v>12</v>
      </c>
      <c r="I358" s="11"/>
      <c r="J358" t="s">
        <v>109</v>
      </c>
      <c r="K358" s="6">
        <f>IFERROR(IF(VendasSem4[[#This Row],[Id da Venda]]=B359,0,VLOOKUP(VendasSem4[[#This Row],[Região de Entrega]],cálculos!$B$5:$C$9,2,0)),0)</f>
        <v>0</v>
      </c>
      <c r="L358" s="6">
        <f>(VendasSem4[[#This Row],[Subtotal]]*(1-VendasSem4[[#This Row],[Desconto]])+VendasSem4[[#This Row],[Valor de Entrega]])</f>
        <v>12</v>
      </c>
      <c r="M358" s="6" t="str">
        <f>IF(VendasSem4[[#This Row],[Id da Venda]]=B359,"",SUMIF(VendasSem4[Id da Venda],VendasSem4[[#This Row],[Id da Venda]],VendasSem4[Total]))</f>
        <v/>
      </c>
    </row>
    <row r="359" spans="2:13" x14ac:dyDescent="0.25">
      <c r="B359">
        <v>79</v>
      </c>
      <c r="C359" s="7">
        <v>45192</v>
      </c>
      <c r="D359" t="s">
        <v>32</v>
      </c>
      <c r="E359" t="str">
        <f>IFERROR(VLOOKUP(VendasSem4[[#This Row],[Produto]],cálculos!$I$3:$L$50,4,0),"")</f>
        <v>Kg</v>
      </c>
      <c r="F359">
        <v>10</v>
      </c>
      <c r="G359" s="6">
        <f>IFERROR(VLOOKUP(VendasSem4[[#This Row],[Produto]],cálculos!$I$3:$L$50,3,0),0)</f>
        <v>2.4900000000000002</v>
      </c>
      <c r="H359" s="6">
        <f>IFERROR(VendasSem4[[#This Row],[Quantidade]]*VendasSem4[[#This Row],[Preço Unitário]],0)</f>
        <v>24.900000000000002</v>
      </c>
      <c r="I359" s="11"/>
      <c r="J359" t="s">
        <v>109</v>
      </c>
      <c r="K359" s="6">
        <f>IFERROR(IF(VendasSem4[[#This Row],[Id da Venda]]=B360,0,VLOOKUP(VendasSem4[[#This Row],[Região de Entrega]],cálculos!$B$5:$C$9,2,0)),0)</f>
        <v>0</v>
      </c>
      <c r="L359" s="6">
        <f>(VendasSem4[[#This Row],[Subtotal]]*(1-VendasSem4[[#This Row],[Desconto]])+VendasSem4[[#This Row],[Valor de Entrega]])</f>
        <v>24.900000000000002</v>
      </c>
      <c r="M359" s="6" t="str">
        <f>IF(VendasSem4[[#This Row],[Id da Venda]]=B360,"",SUMIF(VendasSem4[Id da Venda],VendasSem4[[#This Row],[Id da Venda]],VendasSem4[Total]))</f>
        <v/>
      </c>
    </row>
    <row r="360" spans="2:13" x14ac:dyDescent="0.25">
      <c r="B360">
        <v>79</v>
      </c>
      <c r="C360" s="7">
        <v>45192</v>
      </c>
      <c r="D360" t="s">
        <v>33</v>
      </c>
      <c r="E360" t="str">
        <f>IFERROR(VLOOKUP(VendasSem4[[#This Row],[Produto]],cálculos!$I$3:$L$50,4,0),"")</f>
        <v>Kg</v>
      </c>
      <c r="F360">
        <v>5</v>
      </c>
      <c r="G360" s="6">
        <f>IFERROR(VLOOKUP(VendasSem4[[#This Row],[Produto]],cálculos!$I$3:$L$50,3,0),0)</f>
        <v>4.28</v>
      </c>
      <c r="H360" s="6">
        <f>IFERROR(VendasSem4[[#This Row],[Quantidade]]*VendasSem4[[#This Row],[Preço Unitário]],0)</f>
        <v>21.400000000000002</v>
      </c>
      <c r="I360" s="11"/>
      <c r="J360" t="s">
        <v>109</v>
      </c>
      <c r="K360" s="6">
        <f>IFERROR(IF(VendasSem4[[#This Row],[Id da Venda]]=B361,0,VLOOKUP(VendasSem4[[#This Row],[Região de Entrega]],cálculos!$B$5:$C$9,2,0)),0)</f>
        <v>0</v>
      </c>
      <c r="L360" s="6">
        <f>(VendasSem4[[#This Row],[Subtotal]]*(1-VendasSem4[[#This Row],[Desconto]])+VendasSem4[[#This Row],[Valor de Entrega]])</f>
        <v>21.400000000000002</v>
      </c>
      <c r="M360" s="6" t="str">
        <f>IF(VendasSem4[[#This Row],[Id da Venda]]=B361,"",SUMIF(VendasSem4[Id da Venda],VendasSem4[[#This Row],[Id da Venda]],VendasSem4[Total]))</f>
        <v/>
      </c>
    </row>
    <row r="361" spans="2:13" x14ac:dyDescent="0.25">
      <c r="B361">
        <v>79</v>
      </c>
      <c r="C361" s="7">
        <v>45192</v>
      </c>
      <c r="D361" t="s">
        <v>129</v>
      </c>
      <c r="E361" t="str">
        <f>IFERROR(VLOOKUP(VendasSem4[[#This Row],[Produto]],cálculos!$I$3:$L$50,4,0),"")</f>
        <v>Unidade</v>
      </c>
      <c r="F361">
        <v>1</v>
      </c>
      <c r="G361" s="6">
        <f>IFERROR(VLOOKUP(VendasSem4[[#This Row],[Produto]],cálculos!$I$3:$L$50,3,0),0)</f>
        <v>18.899999999999999</v>
      </c>
      <c r="H361" s="6">
        <f>IFERROR(VendasSem4[[#This Row],[Quantidade]]*VendasSem4[[#This Row],[Preço Unitário]],0)</f>
        <v>18.899999999999999</v>
      </c>
      <c r="I361" s="11"/>
      <c r="J361" t="s">
        <v>109</v>
      </c>
      <c r="K361" s="6">
        <f>IFERROR(IF(VendasSem4[[#This Row],[Id da Venda]]=B362,0,VLOOKUP(VendasSem4[[#This Row],[Região de Entrega]],cálculos!$B$5:$C$9,2,0)),0)</f>
        <v>0</v>
      </c>
      <c r="L361" s="6">
        <f>(VendasSem4[[#This Row],[Subtotal]]*(1-VendasSem4[[#This Row],[Desconto]])+VendasSem4[[#This Row],[Valor de Entrega]])</f>
        <v>18.899999999999999</v>
      </c>
      <c r="M361" s="6" t="str">
        <f>IF(VendasSem4[[#This Row],[Id da Venda]]=B362,"",SUMIF(VendasSem4[Id da Venda],VendasSem4[[#This Row],[Id da Venda]],VendasSem4[Total]))</f>
        <v/>
      </c>
    </row>
    <row r="362" spans="2:13" x14ac:dyDescent="0.25">
      <c r="B362">
        <v>79</v>
      </c>
      <c r="C362" s="7">
        <v>45192</v>
      </c>
      <c r="D362" t="s">
        <v>130</v>
      </c>
      <c r="E362" t="str">
        <f>IFERROR(VLOOKUP(VendasSem4[[#This Row],[Produto]],cálculos!$I$3:$L$50,4,0),"")</f>
        <v>Kg</v>
      </c>
      <c r="F362">
        <v>1</v>
      </c>
      <c r="G362" s="6">
        <f>IFERROR(VLOOKUP(VendasSem4[[#This Row],[Produto]],cálculos!$I$3:$L$50,3,0),0)</f>
        <v>2.8</v>
      </c>
      <c r="H362" s="6">
        <f>IFERROR(VendasSem4[[#This Row],[Quantidade]]*VendasSem4[[#This Row],[Preço Unitário]],0)</f>
        <v>2.8</v>
      </c>
      <c r="I362" s="11"/>
      <c r="J362" t="s">
        <v>109</v>
      </c>
      <c r="K362" s="6">
        <f>IFERROR(IF(VendasSem4[[#This Row],[Id da Venda]]=B363,0,VLOOKUP(VendasSem4[[#This Row],[Região de Entrega]],cálculos!$B$5:$C$9,2,0)),0)</f>
        <v>0</v>
      </c>
      <c r="L362" s="6">
        <f>(VendasSem4[[#This Row],[Subtotal]]*(1-VendasSem4[[#This Row],[Desconto]])+VendasSem4[[#This Row],[Valor de Entrega]])</f>
        <v>2.8</v>
      </c>
      <c r="M362" s="6" t="str">
        <f>IF(VendasSem4[[#This Row],[Id da Venda]]=B363,"",SUMIF(VendasSem4[Id da Venda],VendasSem4[[#This Row],[Id da Venda]],VendasSem4[Total]))</f>
        <v/>
      </c>
    </row>
    <row r="363" spans="2:13" x14ac:dyDescent="0.25">
      <c r="B363">
        <v>79</v>
      </c>
      <c r="C363" s="7">
        <v>45192</v>
      </c>
      <c r="D363" t="s">
        <v>66</v>
      </c>
      <c r="E363" t="str">
        <f>IFERROR(VLOOKUP(VendasSem4[[#This Row],[Produto]],cálculos!$I$3:$L$50,4,0),"")</f>
        <v>Litro</v>
      </c>
      <c r="F363">
        <v>5</v>
      </c>
      <c r="G363" s="6">
        <f>IFERROR(VLOOKUP(VendasSem4[[#This Row],[Produto]],cálculos!$I$3:$L$50,3,0),0)</f>
        <v>1.49</v>
      </c>
      <c r="H363" s="6">
        <f>IFERROR(VendasSem4[[#This Row],[Quantidade]]*VendasSem4[[#This Row],[Preço Unitário]],0)</f>
        <v>7.45</v>
      </c>
      <c r="I363" s="11"/>
      <c r="J363" t="s">
        <v>109</v>
      </c>
      <c r="K363" s="6">
        <f>IFERROR(IF(VendasSem4[[#This Row],[Id da Venda]]=B364,0,VLOOKUP(VendasSem4[[#This Row],[Região de Entrega]],cálculos!$B$5:$C$9,2,0)),0)</f>
        <v>0</v>
      </c>
      <c r="L363" s="6">
        <f>(VendasSem4[[#This Row],[Subtotal]]*(1-VendasSem4[[#This Row],[Desconto]])+VendasSem4[[#This Row],[Valor de Entrega]])</f>
        <v>7.45</v>
      </c>
      <c r="M363" s="6" t="str">
        <f>IF(VendasSem4[[#This Row],[Id da Venda]]=B364,"",SUMIF(VendasSem4[Id da Venda],VendasSem4[[#This Row],[Id da Venda]],VendasSem4[Total]))</f>
        <v/>
      </c>
    </row>
    <row r="364" spans="2:13" x14ac:dyDescent="0.25">
      <c r="B364">
        <v>79</v>
      </c>
      <c r="C364" s="7">
        <v>45192</v>
      </c>
      <c r="D364" t="s">
        <v>35</v>
      </c>
      <c r="E364" t="str">
        <f>IFERROR(VLOOKUP(VendasSem4[[#This Row],[Produto]],cálculos!$I$3:$L$50,4,0),"")</f>
        <v>Unidade</v>
      </c>
      <c r="F364">
        <v>1</v>
      </c>
      <c r="G364" s="6">
        <f>IFERROR(VLOOKUP(VendasSem4[[#This Row],[Produto]],cálculos!$I$3:$L$50,3,0),0)</f>
        <v>2.99</v>
      </c>
      <c r="H364" s="6">
        <f>IFERROR(VendasSem4[[#This Row],[Quantidade]]*VendasSem4[[#This Row],[Preço Unitário]],0)</f>
        <v>2.99</v>
      </c>
      <c r="I364" s="11"/>
      <c r="J364" t="s">
        <v>109</v>
      </c>
      <c r="K364" s="6">
        <f>IFERROR(IF(VendasSem4[[#This Row],[Id da Venda]]=B365,0,VLOOKUP(VendasSem4[[#This Row],[Região de Entrega]],cálculos!$B$5:$C$9,2,0)),0)</f>
        <v>0</v>
      </c>
      <c r="L364" s="6">
        <f>(VendasSem4[[#This Row],[Subtotal]]*(1-VendasSem4[[#This Row],[Desconto]])+VendasSem4[[#This Row],[Valor de Entrega]])</f>
        <v>2.99</v>
      </c>
      <c r="M364" s="6" t="str">
        <f>IF(VendasSem4[[#This Row],[Id da Venda]]=B365,"",SUMIF(VendasSem4[Id da Venda],VendasSem4[[#This Row],[Id da Venda]],VendasSem4[Total]))</f>
        <v/>
      </c>
    </row>
    <row r="365" spans="2:13" x14ac:dyDescent="0.25">
      <c r="B365">
        <v>79</v>
      </c>
      <c r="C365" s="7">
        <v>45192</v>
      </c>
      <c r="D365" t="s">
        <v>127</v>
      </c>
      <c r="E365" t="str">
        <f>IFERROR(VLOOKUP(VendasSem4[[#This Row],[Produto]],cálculos!$I$3:$L$50,4,0),"")</f>
        <v>Kg</v>
      </c>
      <c r="F365">
        <v>0.5</v>
      </c>
      <c r="G365" s="6">
        <f>IFERROR(VLOOKUP(VendasSem4[[#This Row],[Produto]],cálculos!$I$3:$L$50,3,0),0)</f>
        <v>6.9</v>
      </c>
      <c r="H365" s="6">
        <f>IFERROR(VendasSem4[[#This Row],[Quantidade]]*VendasSem4[[#This Row],[Preço Unitário]],0)</f>
        <v>3.45</v>
      </c>
      <c r="I365" s="11"/>
      <c r="J365" t="s">
        <v>109</v>
      </c>
      <c r="K365" s="6">
        <f>IFERROR(IF(VendasSem4[[#This Row],[Id da Venda]]=B366,0,VLOOKUP(VendasSem4[[#This Row],[Região de Entrega]],cálculos!$B$5:$C$9,2,0)),0)</f>
        <v>0</v>
      </c>
      <c r="L365" s="6">
        <f>(VendasSem4[[#This Row],[Subtotal]]*(1-VendasSem4[[#This Row],[Desconto]])+VendasSem4[[#This Row],[Valor de Entrega]])</f>
        <v>3.45</v>
      </c>
      <c r="M365" s="6">
        <f>IF(VendasSem4[[#This Row],[Id da Venda]]=B366,"",SUMIF(VendasSem4[Id da Venda],VendasSem4[[#This Row],[Id da Venda]],VendasSem4[Total]))</f>
        <v>101.87</v>
      </c>
    </row>
    <row r="366" spans="2:13" x14ac:dyDescent="0.25">
      <c r="B366">
        <v>80</v>
      </c>
      <c r="C366" s="7">
        <v>45192</v>
      </c>
      <c r="D366" t="s">
        <v>128</v>
      </c>
      <c r="E366" t="str">
        <f>IFERROR(VLOOKUP(VendasSem4[[#This Row],[Produto]],cálculos!$I$3:$L$50,4,0),"")</f>
        <v>Kg</v>
      </c>
      <c r="F366">
        <v>1</v>
      </c>
      <c r="G366" s="6">
        <f>IFERROR(VLOOKUP(VendasSem4[[#This Row],[Produto]],cálculos!$I$3:$L$50,3,0),0)</f>
        <v>10</v>
      </c>
      <c r="H366" s="6">
        <f>IFERROR(VendasSem4[[#This Row],[Quantidade]]*VendasSem4[[#This Row],[Preço Unitário]],0)</f>
        <v>10</v>
      </c>
      <c r="I366" s="11"/>
      <c r="J366" t="s">
        <v>110</v>
      </c>
      <c r="K366" s="6">
        <f>IFERROR(IF(VendasSem4[[#This Row],[Id da Venda]]=B367,0,VLOOKUP(VendasSem4[[#This Row],[Região de Entrega]],cálculos!$B$5:$C$9,2,0)),0)</f>
        <v>0</v>
      </c>
      <c r="L366" s="6">
        <f>(VendasSem4[[#This Row],[Subtotal]]*(1-VendasSem4[[#This Row],[Desconto]])+VendasSem4[[#This Row],[Valor de Entrega]])</f>
        <v>10</v>
      </c>
      <c r="M366" s="6" t="str">
        <f>IF(VendasSem4[[#This Row],[Id da Venda]]=B367,"",SUMIF(VendasSem4[Id da Venda],VendasSem4[[#This Row],[Id da Venda]],VendasSem4[Total]))</f>
        <v/>
      </c>
    </row>
    <row r="367" spans="2:13" x14ac:dyDescent="0.25">
      <c r="B367">
        <v>80</v>
      </c>
      <c r="C367" s="7">
        <v>45192</v>
      </c>
      <c r="D367" t="s">
        <v>47</v>
      </c>
      <c r="E367" t="str">
        <f>IFERROR(VLOOKUP(VendasSem4[[#This Row],[Produto]],cálculos!$I$3:$L$50,4,0),"")</f>
        <v>Unidade</v>
      </c>
      <c r="F367">
        <v>2</v>
      </c>
      <c r="G367" s="6">
        <f>IFERROR(VLOOKUP(VendasSem4[[#This Row],[Produto]],cálculos!$I$3:$L$50,3,0),0)</f>
        <v>2.6</v>
      </c>
      <c r="H367" s="6">
        <f>IFERROR(VendasSem4[[#This Row],[Quantidade]]*VendasSem4[[#This Row],[Preço Unitário]],0)</f>
        <v>5.2</v>
      </c>
      <c r="I367" s="11"/>
      <c r="J367" t="s">
        <v>110</v>
      </c>
      <c r="K367" s="6">
        <f>IFERROR(IF(VendasSem4[[#This Row],[Id da Venda]]=B368,0,VLOOKUP(VendasSem4[[#This Row],[Região de Entrega]],cálculos!$B$5:$C$9,2,0)),0)</f>
        <v>0</v>
      </c>
      <c r="L367" s="6">
        <f>(VendasSem4[[#This Row],[Subtotal]]*(1-VendasSem4[[#This Row],[Desconto]])+VendasSem4[[#This Row],[Valor de Entrega]])</f>
        <v>5.2</v>
      </c>
      <c r="M367" s="6" t="str">
        <f>IF(VendasSem4[[#This Row],[Id da Venda]]=B368,"",SUMIF(VendasSem4[Id da Venda],VendasSem4[[#This Row],[Id da Venda]],VendasSem4[Total]))</f>
        <v/>
      </c>
    </row>
    <row r="368" spans="2:13" x14ac:dyDescent="0.25">
      <c r="B368">
        <v>80</v>
      </c>
      <c r="C368" s="7">
        <v>45192</v>
      </c>
      <c r="D368" t="s">
        <v>46</v>
      </c>
      <c r="E368" t="str">
        <f>IFERROR(VLOOKUP(VendasSem4[[#This Row],[Produto]],cálculos!$I$3:$L$50,4,0),"")</f>
        <v>Garrafa</v>
      </c>
      <c r="F368">
        <v>3</v>
      </c>
      <c r="G368" s="6">
        <f>IFERROR(VLOOKUP(VendasSem4[[#This Row],[Produto]],cálculos!$I$3:$L$50,3,0),0)</f>
        <v>54.9</v>
      </c>
      <c r="H368" s="6">
        <f>IFERROR(VendasSem4[[#This Row],[Quantidade]]*VendasSem4[[#This Row],[Preço Unitário]],0)</f>
        <v>164.7</v>
      </c>
      <c r="I368" s="11"/>
      <c r="J368" t="s">
        <v>110</v>
      </c>
      <c r="K368" s="6">
        <f>IFERROR(IF(VendasSem4[[#This Row],[Id da Venda]]=B369,0,VLOOKUP(VendasSem4[[#This Row],[Região de Entrega]],cálculos!$B$5:$C$9,2,0)),0)</f>
        <v>0</v>
      </c>
      <c r="L368" s="6">
        <f>(VendasSem4[[#This Row],[Subtotal]]*(1-VendasSem4[[#This Row],[Desconto]])+VendasSem4[[#This Row],[Valor de Entrega]])</f>
        <v>164.7</v>
      </c>
      <c r="M368" s="6" t="str">
        <f>IF(VendasSem4[[#This Row],[Id da Venda]]=B369,"",SUMIF(VendasSem4[Id da Venda],VendasSem4[[#This Row],[Id da Venda]],VendasSem4[Total]))</f>
        <v/>
      </c>
    </row>
    <row r="369" spans="2:13" x14ac:dyDescent="0.25">
      <c r="B369">
        <v>80</v>
      </c>
      <c r="C369" s="7">
        <v>45192</v>
      </c>
      <c r="D369" t="s">
        <v>37</v>
      </c>
      <c r="E369" t="str">
        <f>IFERROR(VLOOKUP(VendasSem4[[#This Row],[Produto]],cálculos!$I$3:$L$50,4,0),"")</f>
        <v>Kg</v>
      </c>
      <c r="F369">
        <v>1</v>
      </c>
      <c r="G369" s="6">
        <f>IFERROR(VLOOKUP(VendasSem4[[#This Row],[Produto]],cálculos!$I$3:$L$50,3,0),0)</f>
        <v>6.98</v>
      </c>
      <c r="H369" s="6">
        <f>IFERROR(VendasSem4[[#This Row],[Quantidade]]*VendasSem4[[#This Row],[Preço Unitário]],0)</f>
        <v>6.98</v>
      </c>
      <c r="I369" s="11"/>
      <c r="J369" t="s">
        <v>110</v>
      </c>
      <c r="K369" s="6">
        <f>IFERROR(IF(VendasSem4[[#This Row],[Id da Venda]]=B370,0,VLOOKUP(VendasSem4[[#This Row],[Região de Entrega]],cálculos!$B$5:$C$9,2,0)),0)</f>
        <v>0</v>
      </c>
      <c r="L369" s="6">
        <f>(VendasSem4[[#This Row],[Subtotal]]*(1-VendasSem4[[#This Row],[Desconto]])+VendasSem4[[#This Row],[Valor de Entrega]])</f>
        <v>6.98</v>
      </c>
      <c r="M369" s="6" t="str">
        <f>IF(VendasSem4[[#This Row],[Id da Venda]]=B370,"",SUMIF(VendasSem4[Id da Venda],VendasSem4[[#This Row],[Id da Venda]],VendasSem4[Total]))</f>
        <v/>
      </c>
    </row>
    <row r="370" spans="2:13" x14ac:dyDescent="0.25">
      <c r="B370">
        <v>80</v>
      </c>
      <c r="C370" s="7">
        <v>45192</v>
      </c>
      <c r="D370" t="s">
        <v>118</v>
      </c>
      <c r="E370" t="str">
        <f>IFERROR(VLOOKUP(VendasSem4[[#This Row],[Produto]],cálculos!$I$3:$L$50,4,0),"")</f>
        <v>Kg</v>
      </c>
      <c r="F370">
        <v>2</v>
      </c>
      <c r="G370" s="6">
        <f>IFERROR(VLOOKUP(VendasSem4[[#This Row],[Produto]],cálculos!$I$3:$L$50,3,0),0)</f>
        <v>4</v>
      </c>
      <c r="H370" s="6">
        <f>IFERROR(VendasSem4[[#This Row],[Quantidade]]*VendasSem4[[#This Row],[Preço Unitário]],0)</f>
        <v>8</v>
      </c>
      <c r="I370" s="11"/>
      <c r="J370" t="s">
        <v>110</v>
      </c>
      <c r="K370" s="6">
        <f>IFERROR(IF(VendasSem4[[#This Row],[Id da Venda]]=B371,0,VLOOKUP(VendasSem4[[#This Row],[Região de Entrega]],cálculos!$B$5:$C$9,2,0)),0)</f>
        <v>0</v>
      </c>
      <c r="L370" s="6">
        <f>(VendasSem4[[#This Row],[Subtotal]]*(1-VendasSem4[[#This Row],[Desconto]])+VendasSem4[[#This Row],[Valor de Entrega]])</f>
        <v>8</v>
      </c>
      <c r="M370" s="6" t="str">
        <f>IF(VendasSem4[[#This Row],[Id da Venda]]=B371,"",SUMIF(VendasSem4[Id da Venda],VendasSem4[[#This Row],[Id da Venda]],VendasSem4[Total]))</f>
        <v/>
      </c>
    </row>
    <row r="371" spans="2:13" x14ac:dyDescent="0.25">
      <c r="B371">
        <v>80</v>
      </c>
      <c r="C371" s="7">
        <v>45192</v>
      </c>
      <c r="D371" t="s">
        <v>130</v>
      </c>
      <c r="E371" t="str">
        <f>IFERROR(VLOOKUP(VendasSem4[[#This Row],[Produto]],cálculos!$I$3:$L$50,4,0),"")</f>
        <v>Kg</v>
      </c>
      <c r="F371">
        <v>1</v>
      </c>
      <c r="G371" s="6">
        <f>IFERROR(VLOOKUP(VendasSem4[[#This Row],[Produto]],cálculos!$I$3:$L$50,3,0),0)</f>
        <v>2.8</v>
      </c>
      <c r="H371" s="6">
        <f>IFERROR(VendasSem4[[#This Row],[Quantidade]]*VendasSem4[[#This Row],[Preço Unitário]],0)</f>
        <v>2.8</v>
      </c>
      <c r="I371" s="11"/>
      <c r="J371" t="s">
        <v>110</v>
      </c>
      <c r="K371" s="6">
        <f>IFERROR(IF(VendasSem4[[#This Row],[Id da Venda]]=B372,0,VLOOKUP(VendasSem4[[#This Row],[Região de Entrega]],cálculos!$B$5:$C$9,2,0)),0)</f>
        <v>0</v>
      </c>
      <c r="L371" s="6">
        <f>(VendasSem4[[#This Row],[Subtotal]]*(1-VendasSem4[[#This Row],[Desconto]])+VendasSem4[[#This Row],[Valor de Entrega]])</f>
        <v>2.8</v>
      </c>
      <c r="M371" s="6" t="str">
        <f>IF(VendasSem4[[#This Row],[Id da Venda]]=B372,"",SUMIF(VendasSem4[Id da Venda],VendasSem4[[#This Row],[Id da Venda]],VendasSem4[Total]))</f>
        <v/>
      </c>
    </row>
    <row r="372" spans="2:13" x14ac:dyDescent="0.25">
      <c r="B372">
        <v>80</v>
      </c>
      <c r="C372" s="7">
        <v>45192</v>
      </c>
      <c r="D372" t="s">
        <v>36</v>
      </c>
      <c r="E372" t="str">
        <f>IFERROR(VLOOKUP(VendasSem4[[#This Row],[Produto]],cálculos!$I$3:$L$50,4,0),"")</f>
        <v>Kg</v>
      </c>
      <c r="F372">
        <v>5</v>
      </c>
      <c r="G372" s="6">
        <f>IFERROR(VLOOKUP(VendasSem4[[#This Row],[Produto]],cálculos!$I$3:$L$50,3,0),0)</f>
        <v>15.9</v>
      </c>
      <c r="H372" s="6">
        <f>IFERROR(VendasSem4[[#This Row],[Quantidade]]*VendasSem4[[#This Row],[Preço Unitário]],0)</f>
        <v>79.5</v>
      </c>
      <c r="I372" s="11"/>
      <c r="J372" t="s">
        <v>110</v>
      </c>
      <c r="K372" s="6">
        <f>IFERROR(IF(VendasSem4[[#This Row],[Id da Venda]]=B373,0,VLOOKUP(VendasSem4[[#This Row],[Região de Entrega]],cálculos!$B$5:$C$9,2,0)),0)</f>
        <v>0</v>
      </c>
      <c r="L372" s="6">
        <f>(VendasSem4[[#This Row],[Subtotal]]*(1-VendasSem4[[#This Row],[Desconto]])+VendasSem4[[#This Row],[Valor de Entrega]])</f>
        <v>79.5</v>
      </c>
      <c r="M372" s="6" t="str">
        <f>IF(VendasSem4[[#This Row],[Id da Venda]]=B373,"",SUMIF(VendasSem4[Id da Venda],VendasSem4[[#This Row],[Id da Venda]],VendasSem4[Total]))</f>
        <v/>
      </c>
    </row>
    <row r="373" spans="2:13" x14ac:dyDescent="0.25">
      <c r="B373">
        <v>80</v>
      </c>
      <c r="C373" s="7">
        <v>45192</v>
      </c>
      <c r="D373" t="s">
        <v>121</v>
      </c>
      <c r="E373" t="str">
        <f>IFERROR(VLOOKUP(VendasSem4[[#This Row],[Produto]],cálculos!$I$3:$L$50,4,0),"")</f>
        <v>Kg</v>
      </c>
      <c r="F373">
        <v>1</v>
      </c>
      <c r="G373" s="6">
        <f>IFERROR(VLOOKUP(VendasSem4[[#This Row],[Produto]],cálculos!$I$3:$L$50,3,0),0)</f>
        <v>12</v>
      </c>
      <c r="H373" s="6">
        <f>IFERROR(VendasSem4[[#This Row],[Quantidade]]*VendasSem4[[#This Row],[Preço Unitário]],0)</f>
        <v>12</v>
      </c>
      <c r="I373" s="11"/>
      <c r="J373" t="s">
        <v>110</v>
      </c>
      <c r="K373" s="6">
        <f>IFERROR(IF(VendasSem4[[#This Row],[Id da Venda]]=B374,0,VLOOKUP(VendasSem4[[#This Row],[Região de Entrega]],cálculos!$B$5:$C$9,2,0)),0)</f>
        <v>0</v>
      </c>
      <c r="L373" s="6">
        <f>(VendasSem4[[#This Row],[Subtotal]]*(1-VendasSem4[[#This Row],[Desconto]])+VendasSem4[[#This Row],[Valor de Entrega]])</f>
        <v>12</v>
      </c>
      <c r="M373" s="6" t="str">
        <f>IF(VendasSem4[[#This Row],[Id da Venda]]=B374,"",SUMIF(VendasSem4[Id da Venda],VendasSem4[[#This Row],[Id da Venda]],VendasSem4[Total]))</f>
        <v/>
      </c>
    </row>
    <row r="374" spans="2:13" x14ac:dyDescent="0.25">
      <c r="B374">
        <v>80</v>
      </c>
      <c r="C374" s="7">
        <v>45192</v>
      </c>
      <c r="D374" t="s">
        <v>66</v>
      </c>
      <c r="E374" t="str">
        <f>IFERROR(VLOOKUP(VendasSem4[[#This Row],[Produto]],cálculos!$I$3:$L$50,4,0),"")</f>
        <v>Litro</v>
      </c>
      <c r="F374">
        <v>5</v>
      </c>
      <c r="G374" s="6">
        <f>IFERROR(VLOOKUP(VendasSem4[[#This Row],[Produto]],cálculos!$I$3:$L$50,3,0),0)</f>
        <v>1.49</v>
      </c>
      <c r="H374" s="6">
        <f>IFERROR(VendasSem4[[#This Row],[Quantidade]]*VendasSem4[[#This Row],[Preço Unitário]],0)</f>
        <v>7.45</v>
      </c>
      <c r="I374" s="11"/>
      <c r="J374" t="s">
        <v>110</v>
      </c>
      <c r="K374" s="6">
        <f>IFERROR(IF(VendasSem4[[#This Row],[Id da Venda]]=B375,0,VLOOKUP(VendasSem4[[#This Row],[Região de Entrega]],cálculos!$B$5:$C$9,2,0)),0)</f>
        <v>0</v>
      </c>
      <c r="L374" s="6">
        <f>(VendasSem4[[#This Row],[Subtotal]]*(1-VendasSem4[[#This Row],[Desconto]])+VendasSem4[[#This Row],[Valor de Entrega]])</f>
        <v>7.45</v>
      </c>
      <c r="M374" s="6" t="str">
        <f>IF(VendasSem4[[#This Row],[Id da Venda]]=B375,"",SUMIF(VendasSem4[Id da Venda],VendasSem4[[#This Row],[Id da Venda]],VendasSem4[Total]))</f>
        <v/>
      </c>
    </row>
    <row r="375" spans="2:13" x14ac:dyDescent="0.25">
      <c r="B375">
        <v>80</v>
      </c>
      <c r="C375" s="7">
        <v>45192</v>
      </c>
      <c r="D375" t="s">
        <v>32</v>
      </c>
      <c r="E375" t="str">
        <f>IFERROR(VLOOKUP(VendasSem4[[#This Row],[Produto]],cálculos!$I$3:$L$50,4,0),"")</f>
        <v>Kg</v>
      </c>
      <c r="F375">
        <v>4</v>
      </c>
      <c r="G375" s="6">
        <f>IFERROR(VLOOKUP(VendasSem4[[#This Row],[Produto]],cálculos!$I$3:$L$50,3,0),0)</f>
        <v>2.4900000000000002</v>
      </c>
      <c r="H375" s="6">
        <f>IFERROR(VendasSem4[[#This Row],[Quantidade]]*VendasSem4[[#This Row],[Preço Unitário]],0)</f>
        <v>9.9600000000000009</v>
      </c>
      <c r="I375" s="11"/>
      <c r="J375" t="s">
        <v>110</v>
      </c>
      <c r="K375" s="6">
        <f>IFERROR(IF(VendasSem4[[#This Row],[Id da Venda]]=B376,0,VLOOKUP(VendasSem4[[#This Row],[Região de Entrega]],cálculos!$B$5:$C$9,2,0)),0)</f>
        <v>0</v>
      </c>
      <c r="L375" s="6">
        <f>(VendasSem4[[#This Row],[Subtotal]]*(1-VendasSem4[[#This Row],[Desconto]])+VendasSem4[[#This Row],[Valor de Entrega]])</f>
        <v>9.9600000000000009</v>
      </c>
      <c r="M375" s="6" t="str">
        <f>IF(VendasSem4[[#This Row],[Id da Venda]]=B376,"",SUMIF(VendasSem4[Id da Venda],VendasSem4[[#This Row],[Id da Venda]],VendasSem4[Total]))</f>
        <v/>
      </c>
    </row>
    <row r="376" spans="2:13" x14ac:dyDescent="0.25">
      <c r="B376">
        <v>80</v>
      </c>
      <c r="C376" s="7">
        <v>45192</v>
      </c>
      <c r="D376" t="s">
        <v>71</v>
      </c>
      <c r="E376" t="str">
        <f>IFERROR(VLOOKUP(VendasSem4[[#This Row],[Produto]],cálculos!$I$3:$L$50,4,0),"")</f>
        <v>Unidade</v>
      </c>
      <c r="F376">
        <v>1</v>
      </c>
      <c r="G376" s="6">
        <f>IFERROR(VLOOKUP(VendasSem4[[#This Row],[Produto]],cálculos!$I$3:$L$50,3,0),0)</f>
        <v>2.89</v>
      </c>
      <c r="H376" s="6">
        <f>IFERROR(VendasSem4[[#This Row],[Quantidade]]*VendasSem4[[#This Row],[Preço Unitário]],0)</f>
        <v>2.89</v>
      </c>
      <c r="I376" s="11"/>
      <c r="J376" t="s">
        <v>110</v>
      </c>
      <c r="K376" s="6">
        <f>IFERROR(IF(VendasSem4[[#This Row],[Id da Venda]]=B377,0,VLOOKUP(VendasSem4[[#This Row],[Região de Entrega]],cálculos!$B$5:$C$9,2,0)),0)</f>
        <v>0</v>
      </c>
      <c r="L376" s="6">
        <f>(VendasSem4[[#This Row],[Subtotal]]*(1-VendasSem4[[#This Row],[Desconto]])+VendasSem4[[#This Row],[Valor de Entrega]])</f>
        <v>2.89</v>
      </c>
      <c r="M376" s="6" t="str">
        <f>IF(VendasSem4[[#This Row],[Id da Venda]]=B377,"",SUMIF(VendasSem4[Id da Venda],VendasSem4[[#This Row],[Id da Venda]],VendasSem4[Total]))</f>
        <v/>
      </c>
    </row>
    <row r="377" spans="2:13" x14ac:dyDescent="0.25">
      <c r="B377">
        <v>80</v>
      </c>
      <c r="C377" s="7">
        <v>45192</v>
      </c>
      <c r="D377" t="s">
        <v>35</v>
      </c>
      <c r="E377" t="str">
        <f>IFERROR(VLOOKUP(VendasSem4[[#This Row],[Produto]],cálculos!$I$3:$L$50,4,0),"")</f>
        <v>Unidade</v>
      </c>
      <c r="F377">
        <v>1</v>
      </c>
      <c r="G377" s="6">
        <f>IFERROR(VLOOKUP(VendasSem4[[#This Row],[Produto]],cálculos!$I$3:$L$50,3,0),0)</f>
        <v>2.99</v>
      </c>
      <c r="H377" s="6">
        <f>IFERROR(VendasSem4[[#This Row],[Quantidade]]*VendasSem4[[#This Row],[Preço Unitário]],0)</f>
        <v>2.99</v>
      </c>
      <c r="I377" s="11"/>
      <c r="J377" t="s">
        <v>110</v>
      </c>
      <c r="K377" s="6">
        <f>IFERROR(IF(VendasSem4[[#This Row],[Id da Venda]]=B378,0,VLOOKUP(VendasSem4[[#This Row],[Região de Entrega]],cálculos!$B$5:$C$9,2,0)),0)</f>
        <v>0</v>
      </c>
      <c r="L377" s="6">
        <f>(VendasSem4[[#This Row],[Subtotal]]*(1-VendasSem4[[#This Row],[Desconto]])+VendasSem4[[#This Row],[Valor de Entrega]])</f>
        <v>2.99</v>
      </c>
      <c r="M377" s="6" t="str">
        <f>IF(VendasSem4[[#This Row],[Id da Venda]]=B378,"",SUMIF(VendasSem4[Id da Venda],VendasSem4[[#This Row],[Id da Venda]],VendasSem4[Total]))</f>
        <v/>
      </c>
    </row>
    <row r="378" spans="2:13" x14ac:dyDescent="0.25">
      <c r="B378">
        <v>80</v>
      </c>
      <c r="C378" s="7">
        <v>45192</v>
      </c>
      <c r="D378" t="s">
        <v>59</v>
      </c>
      <c r="E378" t="str">
        <f>IFERROR(VLOOKUP(VendasSem4[[#This Row],[Produto]],cálculos!$I$3:$L$50,4,0),"")</f>
        <v>Pacote</v>
      </c>
      <c r="F378">
        <v>1</v>
      </c>
      <c r="G378" s="6">
        <f>IFERROR(VLOOKUP(VendasSem4[[#This Row],[Produto]],cálculos!$I$3:$L$50,3,0),0)</f>
        <v>1.1499999999999999</v>
      </c>
      <c r="H378" s="6">
        <f>IFERROR(VendasSem4[[#This Row],[Quantidade]]*VendasSem4[[#This Row],[Preço Unitário]],0)</f>
        <v>1.1499999999999999</v>
      </c>
      <c r="I378" s="11"/>
      <c r="J378" t="s">
        <v>110</v>
      </c>
      <c r="K378" s="6">
        <f>IFERROR(IF(VendasSem4[[#This Row],[Id da Venda]]=B379,0,VLOOKUP(VendasSem4[[#This Row],[Região de Entrega]],cálculos!$B$5:$C$9,2,0)),0)</f>
        <v>0</v>
      </c>
      <c r="L378" s="6">
        <f>(VendasSem4[[#This Row],[Subtotal]]*(1-VendasSem4[[#This Row],[Desconto]])+VendasSem4[[#This Row],[Valor de Entrega]])</f>
        <v>1.1499999999999999</v>
      </c>
      <c r="M378" s="6" t="str">
        <f>IF(VendasSem4[[#This Row],[Id da Venda]]=B379,"",SUMIF(VendasSem4[Id da Venda],VendasSem4[[#This Row],[Id da Venda]],VendasSem4[Total]))</f>
        <v/>
      </c>
    </row>
    <row r="379" spans="2:13" x14ac:dyDescent="0.25">
      <c r="B379">
        <v>80</v>
      </c>
      <c r="C379" s="7">
        <v>45192</v>
      </c>
      <c r="D379" t="s">
        <v>119</v>
      </c>
      <c r="E379" t="str">
        <f>IFERROR(VLOOKUP(VendasSem4[[#This Row],[Produto]],cálculos!$I$3:$L$50,4,0),"")</f>
        <v>Kg</v>
      </c>
      <c r="F379">
        <v>1</v>
      </c>
      <c r="G379" s="6">
        <f>IFERROR(VLOOKUP(VendasSem4[[#This Row],[Produto]],cálculos!$I$3:$L$50,3,0),0)</f>
        <v>6.8</v>
      </c>
      <c r="H379" s="6">
        <f>IFERROR(VendasSem4[[#This Row],[Quantidade]]*VendasSem4[[#This Row],[Preço Unitário]],0)</f>
        <v>6.8</v>
      </c>
      <c r="I379" s="11"/>
      <c r="J379" t="s">
        <v>110</v>
      </c>
      <c r="K379" s="6">
        <f>IFERROR(IF(VendasSem4[[#This Row],[Id da Venda]]=B380,0,VLOOKUP(VendasSem4[[#This Row],[Região de Entrega]],cálculos!$B$5:$C$9,2,0)),0)</f>
        <v>0</v>
      </c>
      <c r="L379" s="6">
        <f>(VendasSem4[[#This Row],[Subtotal]]*(1-VendasSem4[[#This Row],[Desconto]])+VendasSem4[[#This Row],[Valor de Entrega]])</f>
        <v>6.8</v>
      </c>
      <c r="M379" s="6" t="str">
        <f>IF(VendasSem4[[#This Row],[Id da Venda]]=B380,"",SUMIF(VendasSem4[Id da Venda],VendasSem4[[#This Row],[Id da Venda]],VendasSem4[Total]))</f>
        <v/>
      </c>
    </row>
    <row r="380" spans="2:13" x14ac:dyDescent="0.25">
      <c r="B380">
        <v>80</v>
      </c>
      <c r="C380" s="7">
        <v>45192</v>
      </c>
      <c r="D380" t="s">
        <v>42</v>
      </c>
      <c r="E380" t="str">
        <f>IFERROR(VLOOKUP(VendasSem4[[#This Row],[Produto]],cálculos!$I$3:$L$50,4,0),"")</f>
        <v>Kg</v>
      </c>
      <c r="F380">
        <v>0.5</v>
      </c>
      <c r="G380" s="6">
        <f>IFERROR(VLOOKUP(VendasSem4[[#This Row],[Produto]],cálculos!$I$3:$L$50,3,0),0)</f>
        <v>3.99</v>
      </c>
      <c r="H380" s="6">
        <f>IFERROR(VendasSem4[[#This Row],[Quantidade]]*VendasSem4[[#This Row],[Preço Unitário]],0)</f>
        <v>1.9950000000000001</v>
      </c>
      <c r="I380" s="11"/>
      <c r="J380" t="s">
        <v>110</v>
      </c>
      <c r="K380" s="6">
        <f>IFERROR(IF(VendasSem4[[#This Row],[Id da Venda]]=B381,0,VLOOKUP(VendasSem4[[#This Row],[Região de Entrega]],cálculos!$B$5:$C$9,2,0)),0)</f>
        <v>0</v>
      </c>
      <c r="L380" s="6">
        <f>(VendasSem4[[#This Row],[Subtotal]]*(1-VendasSem4[[#This Row],[Desconto]])+VendasSem4[[#This Row],[Valor de Entrega]])</f>
        <v>1.9950000000000001</v>
      </c>
      <c r="M380" s="6" t="str">
        <f>IF(VendasSem4[[#This Row],[Id da Venda]]=B381,"",SUMIF(VendasSem4[Id da Venda],VendasSem4[[#This Row],[Id da Venda]],VendasSem4[Total]))</f>
        <v/>
      </c>
    </row>
    <row r="381" spans="2:13" x14ac:dyDescent="0.25">
      <c r="B381">
        <v>80</v>
      </c>
      <c r="C381" s="7">
        <v>45192</v>
      </c>
      <c r="D381" t="s">
        <v>33</v>
      </c>
      <c r="E381" t="str">
        <f>IFERROR(VLOOKUP(VendasSem4[[#This Row],[Produto]],cálculos!$I$3:$L$50,4,0),"")</f>
        <v>Kg</v>
      </c>
      <c r="F381">
        <v>3</v>
      </c>
      <c r="G381" s="6">
        <f>IFERROR(VLOOKUP(VendasSem4[[#This Row],[Produto]],cálculos!$I$3:$L$50,3,0),0)</f>
        <v>4.28</v>
      </c>
      <c r="H381" s="6">
        <f>IFERROR(VendasSem4[[#This Row],[Quantidade]]*VendasSem4[[#This Row],[Preço Unitário]],0)</f>
        <v>12.84</v>
      </c>
      <c r="I381" s="11"/>
      <c r="J381" t="s">
        <v>110</v>
      </c>
      <c r="K381" s="6">
        <f>IFERROR(IF(VendasSem4[[#This Row],[Id da Venda]]=B382,0,VLOOKUP(VendasSem4[[#This Row],[Região de Entrega]],cálculos!$B$5:$C$9,2,0)),0)</f>
        <v>0</v>
      </c>
      <c r="L381" s="6">
        <f>(VendasSem4[[#This Row],[Subtotal]]*(1-VendasSem4[[#This Row],[Desconto]])+VendasSem4[[#This Row],[Valor de Entrega]])</f>
        <v>12.84</v>
      </c>
      <c r="M381" s="6" t="str">
        <f>IF(VendasSem4[[#This Row],[Id da Venda]]=B382,"",SUMIF(VendasSem4[Id da Venda],VendasSem4[[#This Row],[Id da Venda]],VendasSem4[Total]))</f>
        <v/>
      </c>
    </row>
    <row r="382" spans="2:13" x14ac:dyDescent="0.25">
      <c r="B382">
        <v>80</v>
      </c>
      <c r="C382" s="7">
        <v>45192</v>
      </c>
      <c r="D382" t="s">
        <v>34</v>
      </c>
      <c r="E382" t="str">
        <f>IFERROR(VLOOKUP(VendasSem4[[#This Row],[Produto]],cálculos!$I$3:$L$50,4,0),"")</f>
        <v>Kg</v>
      </c>
      <c r="F382">
        <v>5</v>
      </c>
      <c r="G382" s="6">
        <f>IFERROR(VLOOKUP(VendasSem4[[#This Row],[Produto]],cálculos!$I$3:$L$50,3,0),0)</f>
        <v>5.82</v>
      </c>
      <c r="H382" s="6">
        <f>IFERROR(VendasSem4[[#This Row],[Quantidade]]*VendasSem4[[#This Row],[Preço Unitário]],0)</f>
        <v>29.1</v>
      </c>
      <c r="I382" s="11"/>
      <c r="J382" t="s">
        <v>110</v>
      </c>
      <c r="K382" s="6">
        <f>IFERROR(IF(VendasSem4[[#This Row],[Id da Venda]]=B383,0,VLOOKUP(VendasSem4[[#This Row],[Região de Entrega]],cálculos!$B$5:$C$9,2,0)),0)</f>
        <v>0</v>
      </c>
      <c r="L382" s="6">
        <f>(VendasSem4[[#This Row],[Subtotal]]*(1-VendasSem4[[#This Row],[Desconto]])+VendasSem4[[#This Row],[Valor de Entrega]])</f>
        <v>29.1</v>
      </c>
      <c r="M382" s="6" t="str">
        <f>IF(VendasSem4[[#This Row],[Id da Venda]]=B383,"",SUMIF(VendasSem4[Id da Venda],VendasSem4[[#This Row],[Id da Venda]],VendasSem4[Total]))</f>
        <v/>
      </c>
    </row>
    <row r="383" spans="2:13" x14ac:dyDescent="0.25">
      <c r="B383">
        <v>80</v>
      </c>
      <c r="C383" s="7">
        <v>45192</v>
      </c>
      <c r="D383" t="s">
        <v>133</v>
      </c>
      <c r="E383" t="str">
        <f>IFERROR(VLOOKUP(VendasSem4[[#This Row],[Produto]],cálculos!$I$3:$L$50,4,0),"")</f>
        <v>Kg</v>
      </c>
      <c r="F383">
        <v>1</v>
      </c>
      <c r="G383" s="6">
        <f>IFERROR(VLOOKUP(VendasSem4[[#This Row],[Produto]],cálculos!$I$3:$L$50,3,0),0)</f>
        <v>3</v>
      </c>
      <c r="H383" s="6">
        <f>IFERROR(VendasSem4[[#This Row],[Quantidade]]*VendasSem4[[#This Row],[Preço Unitário]],0)</f>
        <v>3</v>
      </c>
      <c r="I383" s="11"/>
      <c r="J383" t="s">
        <v>110</v>
      </c>
      <c r="K383" s="6">
        <f>IFERROR(IF(VendasSem4[[#This Row],[Id da Venda]]=B384,0,VLOOKUP(VendasSem4[[#This Row],[Região de Entrega]],cálculos!$B$5:$C$9,2,0)),0)</f>
        <v>0</v>
      </c>
      <c r="L383" s="6">
        <f>(VendasSem4[[#This Row],[Subtotal]]*(1-VendasSem4[[#This Row],[Desconto]])+VendasSem4[[#This Row],[Valor de Entrega]])</f>
        <v>3</v>
      </c>
      <c r="M383" s="6" t="str">
        <f>IF(VendasSem4[[#This Row],[Id da Venda]]=B384,"",SUMIF(VendasSem4[Id da Venda],VendasSem4[[#This Row],[Id da Venda]],VendasSem4[Total]))</f>
        <v/>
      </c>
    </row>
    <row r="384" spans="2:13" x14ac:dyDescent="0.25">
      <c r="B384">
        <v>80</v>
      </c>
      <c r="C384" s="7">
        <v>45192</v>
      </c>
      <c r="D384" t="s">
        <v>41</v>
      </c>
      <c r="E384" t="str">
        <f>IFERROR(VLOOKUP(VendasSem4[[#This Row],[Produto]],cálculos!$I$3:$L$50,4,0),"")</f>
        <v>Litro</v>
      </c>
      <c r="F384">
        <v>10</v>
      </c>
      <c r="G384" s="6">
        <f>IFERROR(VLOOKUP(VendasSem4[[#This Row],[Produto]],cálculos!$I$3:$L$50,3,0),0)</f>
        <v>3.45</v>
      </c>
      <c r="H384" s="6">
        <f>IFERROR(VendasSem4[[#This Row],[Quantidade]]*VendasSem4[[#This Row],[Preço Unitário]],0)</f>
        <v>34.5</v>
      </c>
      <c r="I384" s="11"/>
      <c r="J384" t="s">
        <v>110</v>
      </c>
      <c r="K384" s="6">
        <f>IFERROR(IF(VendasSem4[[#This Row],[Id da Venda]]=B385,0,VLOOKUP(VendasSem4[[#This Row],[Região de Entrega]],cálculos!$B$5:$C$9,2,0)),0)</f>
        <v>0</v>
      </c>
      <c r="L384" s="6">
        <f>(VendasSem4[[#This Row],[Subtotal]]*(1-VendasSem4[[#This Row],[Desconto]])+VendasSem4[[#This Row],[Valor de Entrega]])</f>
        <v>34.5</v>
      </c>
      <c r="M384" s="6" t="str">
        <f>IF(VendasSem4[[#This Row],[Id da Venda]]=B385,"",SUMIF(VendasSem4[Id da Venda],VendasSem4[[#This Row],[Id da Venda]],VendasSem4[Total]))</f>
        <v/>
      </c>
    </row>
    <row r="385" spans="2:13" x14ac:dyDescent="0.25">
      <c r="B385">
        <v>80</v>
      </c>
      <c r="C385" s="7">
        <v>45192</v>
      </c>
      <c r="D385" t="s">
        <v>127</v>
      </c>
      <c r="E385" t="str">
        <f>IFERROR(VLOOKUP(VendasSem4[[#This Row],[Produto]],cálculos!$I$3:$L$50,4,0),"")</f>
        <v>Kg</v>
      </c>
      <c r="F385">
        <v>1</v>
      </c>
      <c r="G385" s="6">
        <f>IFERROR(VLOOKUP(VendasSem4[[#This Row],[Produto]],cálculos!$I$3:$L$50,3,0),0)</f>
        <v>6.9</v>
      </c>
      <c r="H385" s="6">
        <f>IFERROR(VendasSem4[[#This Row],[Quantidade]]*VendasSem4[[#This Row],[Preço Unitário]],0)</f>
        <v>6.9</v>
      </c>
      <c r="I385" s="11"/>
      <c r="J385" t="s">
        <v>110</v>
      </c>
      <c r="K385" s="6">
        <f>IFERROR(IF(VendasSem4[[#This Row],[Id da Venda]]=B386,0,VLOOKUP(VendasSem4[[#This Row],[Região de Entrega]],cálculos!$B$5:$C$9,2,0)),0)</f>
        <v>0</v>
      </c>
      <c r="L385" s="6">
        <f>(VendasSem4[[#This Row],[Subtotal]]*(1-VendasSem4[[#This Row],[Desconto]])+VendasSem4[[#This Row],[Valor de Entrega]])</f>
        <v>6.9</v>
      </c>
      <c r="M385" s="6" t="str">
        <f>IF(VendasSem4[[#This Row],[Id da Venda]]=B386,"",SUMIF(VendasSem4[Id da Venda],VendasSem4[[#This Row],[Id da Venda]],VendasSem4[Total]))</f>
        <v/>
      </c>
    </row>
    <row r="386" spans="2:13" x14ac:dyDescent="0.25">
      <c r="B386">
        <v>80</v>
      </c>
      <c r="C386" s="7">
        <v>45192</v>
      </c>
      <c r="D386" t="s">
        <v>131</v>
      </c>
      <c r="E386" t="str">
        <f>IFERROR(VLOOKUP(VendasSem4[[#This Row],[Produto]],cálculos!$I$3:$L$50,4,0),"")</f>
        <v>Kg</v>
      </c>
      <c r="F386">
        <v>0.3</v>
      </c>
      <c r="G386" s="6">
        <f>IFERROR(VLOOKUP(VendasSem4[[#This Row],[Produto]],cálculos!$I$3:$L$50,3,0),0)</f>
        <v>3</v>
      </c>
      <c r="H386" s="6">
        <f>IFERROR(VendasSem4[[#This Row],[Quantidade]]*VendasSem4[[#This Row],[Preço Unitário]],0)</f>
        <v>0.89999999999999991</v>
      </c>
      <c r="I386" s="11"/>
      <c r="J386" t="s">
        <v>110</v>
      </c>
      <c r="K386" s="6">
        <f>IFERROR(IF(VendasSem4[[#This Row],[Id da Venda]]=B387,0,VLOOKUP(VendasSem4[[#This Row],[Região de Entrega]],cálculos!$B$5:$C$9,2,0)),0)</f>
        <v>0</v>
      </c>
      <c r="L386" s="6">
        <f>(VendasSem4[[#This Row],[Subtotal]]*(1-VendasSem4[[#This Row],[Desconto]])+VendasSem4[[#This Row],[Valor de Entrega]])</f>
        <v>0.89999999999999991</v>
      </c>
      <c r="M386" s="6" t="str">
        <f>IF(VendasSem4[[#This Row],[Id da Venda]]=B387,"",SUMIF(VendasSem4[Id da Venda],VendasSem4[[#This Row],[Id da Venda]],VendasSem4[Total]))</f>
        <v/>
      </c>
    </row>
    <row r="387" spans="2:13" x14ac:dyDescent="0.25">
      <c r="B387">
        <v>80</v>
      </c>
      <c r="C387" s="7">
        <v>45192</v>
      </c>
      <c r="D387" t="s">
        <v>120</v>
      </c>
      <c r="E387" t="str">
        <f>IFERROR(VLOOKUP(VendasSem4[[#This Row],[Produto]],cálculos!$I$3:$L$50,4,0),"")</f>
        <v>Kg</v>
      </c>
      <c r="F387">
        <v>1</v>
      </c>
      <c r="G387" s="6">
        <f>IFERROR(VLOOKUP(VendasSem4[[#This Row],[Produto]],cálculos!$I$3:$L$50,3,0),0)</f>
        <v>4.5</v>
      </c>
      <c r="H387" s="6">
        <f>IFERROR(VendasSem4[[#This Row],[Quantidade]]*VendasSem4[[#This Row],[Preço Unitário]],0)</f>
        <v>4.5</v>
      </c>
      <c r="I387" s="11"/>
      <c r="J387" t="s">
        <v>110</v>
      </c>
      <c r="K387" s="6">
        <f>IFERROR(IF(VendasSem4[[#This Row],[Id da Venda]]=B388,0,VLOOKUP(VendasSem4[[#This Row],[Região de Entrega]],cálculos!$B$5:$C$9,2,0)),0)</f>
        <v>0</v>
      </c>
      <c r="L387" s="6">
        <f>(VendasSem4[[#This Row],[Subtotal]]*(1-VendasSem4[[#This Row],[Desconto]])+VendasSem4[[#This Row],[Valor de Entrega]])</f>
        <v>4.5</v>
      </c>
      <c r="M387" s="6" t="str">
        <f>IF(VendasSem4[[#This Row],[Id da Venda]]=B388,"",SUMIF(VendasSem4[Id da Venda],VendasSem4[[#This Row],[Id da Venda]],VendasSem4[Total]))</f>
        <v/>
      </c>
    </row>
    <row r="388" spans="2:13" x14ac:dyDescent="0.25">
      <c r="B388">
        <v>80</v>
      </c>
      <c r="C388" s="7">
        <v>45192</v>
      </c>
      <c r="D388" t="s">
        <v>57</v>
      </c>
      <c r="E388" t="str">
        <f>IFERROR(VLOOKUP(VendasSem4[[#This Row],[Produto]],cálculos!$I$3:$L$50,4,0),"")</f>
        <v>Barra</v>
      </c>
      <c r="F388">
        <v>3</v>
      </c>
      <c r="G388" s="6">
        <f>IFERROR(VLOOKUP(VendasSem4[[#This Row],[Produto]],cálculos!$I$3:$L$50,3,0),0)</f>
        <v>4.99</v>
      </c>
      <c r="H388" s="6">
        <f>IFERROR(VendasSem4[[#This Row],[Quantidade]]*VendasSem4[[#This Row],[Preço Unitário]],0)</f>
        <v>14.97</v>
      </c>
      <c r="I388" s="11"/>
      <c r="J388" t="s">
        <v>110</v>
      </c>
      <c r="K388" s="6">
        <f>IFERROR(IF(VendasSem4[[#This Row],[Id da Venda]]=B389,0,VLOOKUP(VendasSem4[[#This Row],[Região de Entrega]],cálculos!$B$5:$C$9,2,0)),0)</f>
        <v>0</v>
      </c>
      <c r="L388" s="6">
        <f>(VendasSem4[[#This Row],[Subtotal]]*(1-VendasSem4[[#This Row],[Desconto]])+VendasSem4[[#This Row],[Valor de Entrega]])</f>
        <v>14.97</v>
      </c>
      <c r="M388" s="6" t="str">
        <f>IF(VendasSem4[[#This Row],[Id da Venda]]=B389,"",SUMIF(VendasSem4[Id da Venda],VendasSem4[[#This Row],[Id da Venda]],VendasSem4[Total]))</f>
        <v/>
      </c>
    </row>
    <row r="389" spans="2:13" x14ac:dyDescent="0.25">
      <c r="B389">
        <v>80</v>
      </c>
      <c r="C389" s="7">
        <v>45192</v>
      </c>
      <c r="D389" t="s">
        <v>56</v>
      </c>
      <c r="E389" t="str">
        <f>IFERROR(VLOOKUP(VendasSem4[[#This Row],[Produto]],cálculos!$I$3:$L$50,4,0),"")</f>
        <v>Pacote</v>
      </c>
      <c r="F389">
        <v>1</v>
      </c>
      <c r="G389" s="6">
        <f>IFERROR(VLOOKUP(VendasSem4[[#This Row],[Produto]],cálculos!$I$3:$L$50,3,0),0)</f>
        <v>1.99</v>
      </c>
      <c r="H389" s="6">
        <f>IFERROR(VendasSem4[[#This Row],[Quantidade]]*VendasSem4[[#This Row],[Preço Unitário]],0)</f>
        <v>1.99</v>
      </c>
      <c r="I389" s="11"/>
      <c r="J389" t="s">
        <v>110</v>
      </c>
      <c r="K389" s="6">
        <f>IFERROR(IF(VendasSem4[[#This Row],[Id da Venda]]=B390,0,VLOOKUP(VendasSem4[[#This Row],[Região de Entrega]],cálculos!$B$5:$C$9,2,0)),0)</f>
        <v>0</v>
      </c>
      <c r="L389" s="6">
        <f>(VendasSem4[[#This Row],[Subtotal]]*(1-VendasSem4[[#This Row],[Desconto]])+VendasSem4[[#This Row],[Valor de Entrega]])</f>
        <v>1.99</v>
      </c>
      <c r="M389" s="6" t="str">
        <f>IF(VendasSem4[[#This Row],[Id da Venda]]=B390,"",SUMIF(VendasSem4[Id da Venda],VendasSem4[[#This Row],[Id da Venda]],VendasSem4[Total]))</f>
        <v/>
      </c>
    </row>
    <row r="390" spans="2:13" x14ac:dyDescent="0.25">
      <c r="B390">
        <v>80</v>
      </c>
      <c r="C390" s="7">
        <v>45192</v>
      </c>
      <c r="D390" t="s">
        <v>58</v>
      </c>
      <c r="E390" t="str">
        <f>IFERROR(VLOOKUP(VendasSem4[[#This Row],[Produto]],cálculos!$I$3:$L$50,4,0),"")</f>
        <v>Maço</v>
      </c>
      <c r="F390">
        <v>2</v>
      </c>
      <c r="G390" s="6">
        <f>IFERROR(VLOOKUP(VendasSem4[[#This Row],[Produto]],cálculos!$I$3:$L$50,3,0),0)</f>
        <v>6.75</v>
      </c>
      <c r="H390" s="6">
        <f>IFERROR(VendasSem4[[#This Row],[Quantidade]]*VendasSem4[[#This Row],[Preço Unitário]],0)</f>
        <v>13.5</v>
      </c>
      <c r="I390" s="11"/>
      <c r="J390" t="s">
        <v>110</v>
      </c>
      <c r="K390" s="6">
        <f>IFERROR(IF(VendasSem4[[#This Row],[Id da Venda]]=B391,0,VLOOKUP(VendasSem4[[#This Row],[Região de Entrega]],cálculos!$B$5:$C$9,2,0)),0)</f>
        <v>0</v>
      </c>
      <c r="L390" s="6">
        <f>(VendasSem4[[#This Row],[Subtotal]]*(1-VendasSem4[[#This Row],[Desconto]])+VendasSem4[[#This Row],[Valor de Entrega]])</f>
        <v>13.5</v>
      </c>
      <c r="M390" s="6" t="str">
        <f>IF(VendasSem4[[#This Row],[Id da Venda]]=B391,"",SUMIF(VendasSem4[Id da Venda],VendasSem4[[#This Row],[Id da Venda]],VendasSem4[Total]))</f>
        <v/>
      </c>
    </row>
    <row r="391" spans="2:13" x14ac:dyDescent="0.25">
      <c r="B391">
        <v>80</v>
      </c>
      <c r="C391" s="7">
        <v>45192</v>
      </c>
      <c r="D391" t="s">
        <v>45</v>
      </c>
      <c r="E391" t="str">
        <f>IFERROR(VLOOKUP(VendasSem4[[#This Row],[Produto]],cálculos!$I$3:$L$50,4,0),"")</f>
        <v>Lata</v>
      </c>
      <c r="F391">
        <v>10</v>
      </c>
      <c r="G391" s="6">
        <f>IFERROR(VLOOKUP(VendasSem4[[#This Row],[Produto]],cálculos!$I$3:$L$50,3,0),0)</f>
        <v>2.19</v>
      </c>
      <c r="H391" s="6">
        <f>IFERROR(VendasSem4[[#This Row],[Quantidade]]*VendasSem4[[#This Row],[Preço Unitário]],0)</f>
        <v>21.9</v>
      </c>
      <c r="I391" s="11"/>
      <c r="J391" t="s">
        <v>110</v>
      </c>
      <c r="K391" s="6">
        <f>IFERROR(IF(VendasSem4[[#This Row],[Id da Venda]]=B392,0,VLOOKUP(VendasSem4[[#This Row],[Região de Entrega]],cálculos!$B$5:$C$9,2,0)),0)</f>
        <v>0</v>
      </c>
      <c r="L391" s="6">
        <f>(VendasSem4[[#This Row],[Subtotal]]*(1-VendasSem4[[#This Row],[Desconto]])+VendasSem4[[#This Row],[Valor de Entrega]])</f>
        <v>21.9</v>
      </c>
      <c r="M391" s="6" t="str">
        <f>IF(VendasSem4[[#This Row],[Id da Venda]]=B392,"",SUMIF(VendasSem4[Id da Venda],VendasSem4[[#This Row],[Id da Venda]],VendasSem4[Total]))</f>
        <v/>
      </c>
    </row>
    <row r="392" spans="2:13" x14ac:dyDescent="0.25">
      <c r="B392">
        <v>80</v>
      </c>
      <c r="C392" s="7">
        <v>45192</v>
      </c>
      <c r="D392" t="s">
        <v>123</v>
      </c>
      <c r="E392" t="str">
        <f>IFERROR(VLOOKUP(VendasSem4[[#This Row],[Produto]],cálculos!$I$3:$L$50,4,0),"")</f>
        <v>Kg</v>
      </c>
      <c r="F392">
        <v>2</v>
      </c>
      <c r="G392" s="6">
        <f>IFERROR(VLOOKUP(VendasSem4[[#This Row],[Produto]],cálculos!$I$3:$L$50,3,0),0)</f>
        <v>8</v>
      </c>
      <c r="H392" s="6">
        <f>IFERROR(VendasSem4[[#This Row],[Quantidade]]*VendasSem4[[#This Row],[Preço Unitário]],0)</f>
        <v>16</v>
      </c>
      <c r="I392" s="11"/>
      <c r="J392" t="s">
        <v>110</v>
      </c>
      <c r="K392" s="6">
        <f>IFERROR(IF(VendasSem4[[#This Row],[Id da Venda]]=B393,0,VLOOKUP(VendasSem4[[#This Row],[Região de Entrega]],cálculos!$B$5:$C$9,2,0)),0)</f>
        <v>0</v>
      </c>
      <c r="L392" s="6">
        <f>(VendasSem4[[#This Row],[Subtotal]]*(1-VendasSem4[[#This Row],[Desconto]])+VendasSem4[[#This Row],[Valor de Entrega]])</f>
        <v>16</v>
      </c>
      <c r="M392" s="6" t="str">
        <f>IF(VendasSem4[[#This Row],[Id da Venda]]=B393,"",SUMIF(VendasSem4[Id da Venda],VendasSem4[[#This Row],[Id da Venda]],VendasSem4[Total]))</f>
        <v/>
      </c>
    </row>
    <row r="393" spans="2:13" x14ac:dyDescent="0.25">
      <c r="B393">
        <v>80</v>
      </c>
      <c r="C393" s="7">
        <v>45192</v>
      </c>
      <c r="D393" t="s">
        <v>39</v>
      </c>
      <c r="E393" t="str">
        <f>IFERROR(VLOOKUP(VendasSem4[[#This Row],[Produto]],cálculos!$I$3:$L$50,4,0),"")</f>
        <v>Kg</v>
      </c>
      <c r="F393">
        <v>1</v>
      </c>
      <c r="G393" s="6">
        <f>IFERROR(VLOOKUP(VendasSem4[[#This Row],[Produto]],cálculos!$I$3:$L$50,3,0),0)</f>
        <v>25.9</v>
      </c>
      <c r="H393" s="6">
        <f>IFERROR(VendasSem4[[#This Row],[Quantidade]]*VendasSem4[[#This Row],[Preço Unitário]],0)</f>
        <v>25.9</v>
      </c>
      <c r="I393" s="11"/>
      <c r="J393" t="s">
        <v>110</v>
      </c>
      <c r="K393" s="6">
        <f>IFERROR(IF(VendasSem4[[#This Row],[Id da Venda]]=B394,0,VLOOKUP(VendasSem4[[#This Row],[Região de Entrega]],cálculos!$B$5:$C$9,2,0)),0)</f>
        <v>12.8</v>
      </c>
      <c r="L393" s="6">
        <f>(VendasSem4[[#This Row],[Subtotal]]*(1-VendasSem4[[#This Row],[Desconto]])+VendasSem4[[#This Row],[Valor de Entrega]])</f>
        <v>38.700000000000003</v>
      </c>
      <c r="M393" s="6">
        <f>IF(VendasSem4[[#This Row],[Id da Venda]]=B394,"",SUMIF(VendasSem4[Id da Venda],VendasSem4[[#This Row],[Id da Venda]],VendasSem4[Total]))</f>
        <v>521.21499999999992</v>
      </c>
    </row>
    <row r="394" spans="2:13" x14ac:dyDescent="0.25">
      <c r="B394">
        <v>81</v>
      </c>
      <c r="C394" s="7">
        <v>45192</v>
      </c>
      <c r="D394" t="s">
        <v>71</v>
      </c>
      <c r="E394" t="str">
        <f>IFERROR(VLOOKUP(VendasSem4[[#This Row],[Produto]],cálculos!$I$3:$L$50,4,0),"")</f>
        <v>Unidade</v>
      </c>
      <c r="F394">
        <v>1</v>
      </c>
      <c r="G394" s="6">
        <f>IFERROR(VLOOKUP(VendasSem4[[#This Row],[Produto]],cálculos!$I$3:$L$50,3,0),0)</f>
        <v>2.89</v>
      </c>
      <c r="H394" s="6">
        <f>IFERROR(VendasSem4[[#This Row],[Quantidade]]*VendasSem4[[#This Row],[Preço Unitário]],0)</f>
        <v>2.89</v>
      </c>
      <c r="I394" s="11"/>
      <c r="J394" t="s">
        <v>108</v>
      </c>
      <c r="K394" s="6">
        <f>IFERROR(IF(VendasSem4[[#This Row],[Id da Venda]]=B395,0,VLOOKUP(VendasSem4[[#This Row],[Região de Entrega]],cálculos!$B$5:$C$9,2,0)),0)</f>
        <v>0</v>
      </c>
      <c r="L394" s="6">
        <f>(VendasSem4[[#This Row],[Subtotal]]*(1-VendasSem4[[#This Row],[Desconto]])+VendasSem4[[#This Row],[Valor de Entrega]])</f>
        <v>2.89</v>
      </c>
      <c r="M394" s="6" t="str">
        <f>IF(VendasSem4[[#This Row],[Id da Venda]]=B395,"",SUMIF(VendasSem4[Id da Venda],VendasSem4[[#This Row],[Id da Venda]],VendasSem4[Total]))</f>
        <v/>
      </c>
    </row>
    <row r="395" spans="2:13" x14ac:dyDescent="0.25">
      <c r="B395">
        <v>81</v>
      </c>
      <c r="C395" s="7">
        <v>45192</v>
      </c>
      <c r="D395" t="s">
        <v>121</v>
      </c>
      <c r="E395" t="str">
        <f>IFERROR(VLOOKUP(VendasSem4[[#This Row],[Produto]],cálculos!$I$3:$L$50,4,0),"")</f>
        <v>Kg</v>
      </c>
      <c r="F395">
        <v>2</v>
      </c>
      <c r="G395" s="6">
        <f>IFERROR(VLOOKUP(VendasSem4[[#This Row],[Produto]],cálculos!$I$3:$L$50,3,0),0)</f>
        <v>12</v>
      </c>
      <c r="H395" s="6">
        <f>IFERROR(VendasSem4[[#This Row],[Quantidade]]*VendasSem4[[#This Row],[Preço Unitário]],0)</f>
        <v>24</v>
      </c>
      <c r="I395" s="11"/>
      <c r="J395" t="s">
        <v>108</v>
      </c>
      <c r="K395" s="6">
        <f>IFERROR(IF(VendasSem4[[#This Row],[Id da Venda]]=B396,0,VLOOKUP(VendasSem4[[#This Row],[Região de Entrega]],cálculos!$B$5:$C$9,2,0)),0)</f>
        <v>10</v>
      </c>
      <c r="L395" s="6">
        <f>(VendasSem4[[#This Row],[Subtotal]]*(1-VendasSem4[[#This Row],[Desconto]])+VendasSem4[[#This Row],[Valor de Entrega]])</f>
        <v>34</v>
      </c>
      <c r="M395" s="6">
        <f>IF(VendasSem4[[#This Row],[Id da Venda]]=B396,"",SUMIF(VendasSem4[Id da Venda],VendasSem4[[#This Row],[Id da Venda]],VendasSem4[Total]))</f>
        <v>36.89</v>
      </c>
    </row>
    <row r="396" spans="2:13" x14ac:dyDescent="0.25">
      <c r="B396">
        <v>82</v>
      </c>
      <c r="C396" s="7">
        <v>45192</v>
      </c>
      <c r="D396" t="s">
        <v>37</v>
      </c>
      <c r="E396" t="str">
        <f>IFERROR(VLOOKUP(VendasSem4[[#This Row],[Produto]],cálculos!$I$3:$L$50,4,0),"")</f>
        <v>Kg</v>
      </c>
      <c r="F396">
        <v>3</v>
      </c>
      <c r="G396" s="6">
        <f>IFERROR(VLOOKUP(VendasSem4[[#This Row],[Produto]],cálculos!$I$3:$L$50,3,0),0)</f>
        <v>6.98</v>
      </c>
      <c r="H396" s="6">
        <f>IFERROR(VendasSem4[[#This Row],[Quantidade]]*VendasSem4[[#This Row],[Preço Unitário]],0)</f>
        <v>20.94</v>
      </c>
      <c r="I396" s="11"/>
      <c r="J396" t="s">
        <v>112</v>
      </c>
      <c r="K396" s="6">
        <f>IFERROR(IF(VendasSem4[[#This Row],[Id da Venda]]=B397,0,VLOOKUP(VendasSem4[[#This Row],[Região de Entrega]],cálculos!$B$5:$C$9,2,0)),0)</f>
        <v>0</v>
      </c>
      <c r="L396" s="6">
        <f>(VendasSem4[[#This Row],[Subtotal]]*(1-VendasSem4[[#This Row],[Desconto]])+VendasSem4[[#This Row],[Valor de Entrega]])</f>
        <v>20.94</v>
      </c>
      <c r="M396" s="6" t="str">
        <f>IF(VendasSem4[[#This Row],[Id da Venda]]=B397,"",SUMIF(VendasSem4[Id da Venda],VendasSem4[[#This Row],[Id da Venda]],VendasSem4[Total]))</f>
        <v/>
      </c>
    </row>
    <row r="397" spans="2:13" x14ac:dyDescent="0.25">
      <c r="B397">
        <v>82</v>
      </c>
      <c r="C397" s="7">
        <v>45192</v>
      </c>
      <c r="D397" t="s">
        <v>130</v>
      </c>
      <c r="E397" t="str">
        <f>IFERROR(VLOOKUP(VendasSem4[[#This Row],[Produto]],cálculos!$I$3:$L$50,4,0),"")</f>
        <v>Kg</v>
      </c>
      <c r="F397">
        <v>1</v>
      </c>
      <c r="G397" s="6">
        <f>IFERROR(VLOOKUP(VendasSem4[[#This Row],[Produto]],cálculos!$I$3:$L$50,3,0),0)</f>
        <v>2.8</v>
      </c>
      <c r="H397" s="6">
        <f>IFERROR(VendasSem4[[#This Row],[Quantidade]]*VendasSem4[[#This Row],[Preço Unitário]],0)</f>
        <v>2.8</v>
      </c>
      <c r="I397" s="11"/>
      <c r="J397" t="s">
        <v>112</v>
      </c>
      <c r="K397" s="6">
        <f>IFERROR(IF(VendasSem4[[#This Row],[Id da Venda]]=B398,0,VLOOKUP(VendasSem4[[#This Row],[Região de Entrega]],cálculos!$B$5:$C$9,2,0)),0)</f>
        <v>0</v>
      </c>
      <c r="L397" s="6">
        <f>(VendasSem4[[#This Row],[Subtotal]]*(1-VendasSem4[[#This Row],[Desconto]])+VendasSem4[[#This Row],[Valor de Entrega]])</f>
        <v>2.8</v>
      </c>
      <c r="M397" s="6" t="str">
        <f>IF(VendasSem4[[#This Row],[Id da Venda]]=B398,"",SUMIF(VendasSem4[Id da Venda],VendasSem4[[#This Row],[Id da Venda]],VendasSem4[Total]))</f>
        <v/>
      </c>
    </row>
    <row r="398" spans="2:13" x14ac:dyDescent="0.25">
      <c r="B398">
        <v>82</v>
      </c>
      <c r="C398" s="7">
        <v>45192</v>
      </c>
      <c r="D398" t="s">
        <v>136</v>
      </c>
      <c r="E398" t="str">
        <f>IFERROR(VLOOKUP(VendasSem4[[#This Row],[Produto]],cálculos!$I$3:$L$50,4,0),"")</f>
        <v>Unidade</v>
      </c>
      <c r="F398">
        <v>1</v>
      </c>
      <c r="G398" s="6">
        <f>IFERROR(VLOOKUP(VendasSem4[[#This Row],[Produto]],cálculos!$I$3:$L$50,3,0),0)</f>
        <v>10</v>
      </c>
      <c r="H398" s="6">
        <f>IFERROR(VendasSem4[[#This Row],[Quantidade]]*VendasSem4[[#This Row],[Preço Unitário]],0)</f>
        <v>10</v>
      </c>
      <c r="I398" s="11"/>
      <c r="J398" t="s">
        <v>112</v>
      </c>
      <c r="K398" s="6">
        <f>IFERROR(IF(VendasSem4[[#This Row],[Id da Venda]]=B399,0,VLOOKUP(VendasSem4[[#This Row],[Região de Entrega]],cálculos!$B$5:$C$9,2,0)),0)</f>
        <v>0</v>
      </c>
      <c r="L398" s="6">
        <f>(VendasSem4[[#This Row],[Subtotal]]*(1-VendasSem4[[#This Row],[Desconto]])+VendasSem4[[#This Row],[Valor de Entrega]])</f>
        <v>10</v>
      </c>
      <c r="M398" s="6" t="str">
        <f>IF(VendasSem4[[#This Row],[Id da Venda]]=B399,"",SUMIF(VendasSem4[Id da Venda],VendasSem4[[#This Row],[Id da Venda]],VendasSem4[Total]))</f>
        <v/>
      </c>
    </row>
    <row r="399" spans="2:13" x14ac:dyDescent="0.25">
      <c r="B399">
        <v>82</v>
      </c>
      <c r="C399" s="7">
        <v>45192</v>
      </c>
      <c r="D399" t="s">
        <v>119</v>
      </c>
      <c r="E399" t="str">
        <f>IFERROR(VLOOKUP(VendasSem4[[#This Row],[Produto]],cálculos!$I$3:$L$50,4,0),"")</f>
        <v>Kg</v>
      </c>
      <c r="F399">
        <v>3</v>
      </c>
      <c r="G399" s="6">
        <f>IFERROR(VLOOKUP(VendasSem4[[#This Row],[Produto]],cálculos!$I$3:$L$50,3,0),0)</f>
        <v>6.8</v>
      </c>
      <c r="H399" s="6">
        <f>IFERROR(VendasSem4[[#This Row],[Quantidade]]*VendasSem4[[#This Row],[Preço Unitário]],0)</f>
        <v>20.399999999999999</v>
      </c>
      <c r="I399" s="11"/>
      <c r="J399" t="s">
        <v>112</v>
      </c>
      <c r="K399" s="6">
        <f>IFERROR(IF(VendasSem4[[#This Row],[Id da Venda]]=B400,0,VLOOKUP(VendasSem4[[#This Row],[Região de Entrega]],cálculos!$B$5:$C$9,2,0)),0)</f>
        <v>0</v>
      </c>
      <c r="L399" s="6">
        <f>(VendasSem4[[#This Row],[Subtotal]]*(1-VendasSem4[[#This Row],[Desconto]])+VendasSem4[[#This Row],[Valor de Entrega]])</f>
        <v>20.399999999999999</v>
      </c>
      <c r="M399" s="6" t="str">
        <f>IF(VendasSem4[[#This Row],[Id da Venda]]=B400,"",SUMIF(VendasSem4[Id da Venda],VendasSem4[[#This Row],[Id da Venda]],VendasSem4[Total]))</f>
        <v/>
      </c>
    </row>
    <row r="400" spans="2:13" x14ac:dyDescent="0.25">
      <c r="B400">
        <v>82</v>
      </c>
      <c r="C400" s="7">
        <v>45192</v>
      </c>
      <c r="D400" t="s">
        <v>66</v>
      </c>
      <c r="E400" t="str">
        <f>IFERROR(VLOOKUP(VendasSem4[[#This Row],[Produto]],cálculos!$I$3:$L$50,4,0),"")</f>
        <v>Litro</v>
      </c>
      <c r="F400">
        <v>10</v>
      </c>
      <c r="G400" s="6">
        <f>IFERROR(VLOOKUP(VendasSem4[[#This Row],[Produto]],cálculos!$I$3:$L$50,3,0),0)</f>
        <v>1.49</v>
      </c>
      <c r="H400" s="6">
        <f>IFERROR(VendasSem4[[#This Row],[Quantidade]]*VendasSem4[[#This Row],[Preço Unitário]],0)</f>
        <v>14.9</v>
      </c>
      <c r="I400" s="11"/>
      <c r="J400" t="s">
        <v>112</v>
      </c>
      <c r="K400" s="6">
        <f>IFERROR(IF(VendasSem4[[#This Row],[Id da Venda]]=B401,0,VLOOKUP(VendasSem4[[#This Row],[Região de Entrega]],cálculos!$B$5:$C$9,2,0)),0)</f>
        <v>7</v>
      </c>
      <c r="L400" s="6">
        <f>(VendasSem4[[#This Row],[Subtotal]]*(1-VendasSem4[[#This Row],[Desconto]])+VendasSem4[[#This Row],[Valor de Entrega]])</f>
        <v>21.9</v>
      </c>
      <c r="M400" s="6">
        <f>IF(VendasSem4[[#This Row],[Id da Venda]]=B401,"",SUMIF(VendasSem4[Id da Venda],VendasSem4[[#This Row],[Id da Venda]],VendasSem4[Total]))</f>
        <v>76.039999999999992</v>
      </c>
    </row>
    <row r="401" spans="2:13" x14ac:dyDescent="0.25">
      <c r="B401">
        <v>83</v>
      </c>
      <c r="C401" s="7">
        <v>45192</v>
      </c>
      <c r="D401" t="s">
        <v>36</v>
      </c>
      <c r="E401" t="str">
        <f>IFERROR(VLOOKUP(VendasSem4[[#This Row],[Produto]],cálculos!$I$3:$L$50,4,0),"")</f>
        <v>Kg</v>
      </c>
      <c r="F401">
        <v>5</v>
      </c>
      <c r="G401" s="6">
        <f>IFERROR(VLOOKUP(VendasSem4[[#This Row],[Produto]],cálculos!$I$3:$L$50,3,0),0)</f>
        <v>15.9</v>
      </c>
      <c r="H401" s="6">
        <f>IFERROR(VendasSem4[[#This Row],[Quantidade]]*VendasSem4[[#This Row],[Preço Unitário]],0)</f>
        <v>79.5</v>
      </c>
      <c r="I401" s="11"/>
      <c r="J401" t="s">
        <v>109</v>
      </c>
      <c r="K401" s="6">
        <f>IFERROR(IF(VendasSem4[[#This Row],[Id da Venda]]=B402,0,VLOOKUP(VendasSem4[[#This Row],[Região de Entrega]],cálculos!$B$5:$C$9,2,0)),0)</f>
        <v>0</v>
      </c>
      <c r="L401" s="6">
        <f>(VendasSem4[[#This Row],[Subtotal]]*(1-VendasSem4[[#This Row],[Desconto]])+VendasSem4[[#This Row],[Valor de Entrega]])</f>
        <v>79.5</v>
      </c>
      <c r="M401" s="6" t="str">
        <f>IF(VendasSem4[[#This Row],[Id da Venda]]=B402,"",SUMIF(VendasSem4[Id da Venda],VendasSem4[[#This Row],[Id da Venda]],VendasSem4[Total]))</f>
        <v/>
      </c>
    </row>
    <row r="402" spans="2:13" x14ac:dyDescent="0.25">
      <c r="B402">
        <v>83</v>
      </c>
      <c r="C402" s="7">
        <v>45192</v>
      </c>
      <c r="D402" t="s">
        <v>42</v>
      </c>
      <c r="E402" t="str">
        <f>IFERROR(VLOOKUP(VendasSem4[[#This Row],[Produto]],cálculos!$I$3:$L$50,4,0),"")</f>
        <v>Kg</v>
      </c>
      <c r="F402">
        <v>1</v>
      </c>
      <c r="G402" s="6">
        <f>IFERROR(VLOOKUP(VendasSem4[[#This Row],[Produto]],cálculos!$I$3:$L$50,3,0),0)</f>
        <v>3.99</v>
      </c>
      <c r="H402" s="6">
        <f>IFERROR(VendasSem4[[#This Row],[Quantidade]]*VendasSem4[[#This Row],[Preço Unitário]],0)</f>
        <v>3.99</v>
      </c>
      <c r="I402" s="11"/>
      <c r="J402" t="s">
        <v>109</v>
      </c>
      <c r="K402" s="6">
        <f>IFERROR(IF(VendasSem4[[#This Row],[Id da Venda]]=B403,0,VLOOKUP(VendasSem4[[#This Row],[Região de Entrega]],cálculos!$B$5:$C$9,2,0)),0)</f>
        <v>0</v>
      </c>
      <c r="L402" s="6">
        <f>(VendasSem4[[#This Row],[Subtotal]]*(1-VendasSem4[[#This Row],[Desconto]])+VendasSem4[[#This Row],[Valor de Entrega]])</f>
        <v>3.99</v>
      </c>
      <c r="M402" s="6">
        <f>IF(VendasSem4[[#This Row],[Id da Venda]]=B403,"",SUMIF(VendasSem4[Id da Venda],VendasSem4[[#This Row],[Id da Venda]],VendasSem4[Total]))</f>
        <v>83.49</v>
      </c>
    </row>
    <row r="403" spans="2:13" x14ac:dyDescent="0.25">
      <c r="B403">
        <v>84</v>
      </c>
      <c r="C403" s="7">
        <v>45192</v>
      </c>
      <c r="D403" t="s">
        <v>131</v>
      </c>
      <c r="E403" t="str">
        <f>IFERROR(VLOOKUP(VendasSem4[[#This Row],[Produto]],cálculos!$I$3:$L$50,4,0),"")</f>
        <v>Kg</v>
      </c>
      <c r="F403">
        <v>0.3</v>
      </c>
      <c r="G403" s="6">
        <f>IFERROR(VLOOKUP(VendasSem4[[#This Row],[Produto]],cálculos!$I$3:$L$50,3,0),0)</f>
        <v>3</v>
      </c>
      <c r="H403" s="6">
        <f>IFERROR(VendasSem4[[#This Row],[Quantidade]]*VendasSem4[[#This Row],[Preço Unitário]],0)</f>
        <v>0.89999999999999991</v>
      </c>
      <c r="I403" s="11"/>
      <c r="J403" t="s">
        <v>109</v>
      </c>
      <c r="K403" s="6">
        <f>IFERROR(IF(VendasSem4[[#This Row],[Id da Venda]]=B404,0,VLOOKUP(VendasSem4[[#This Row],[Região de Entrega]],cálculos!$B$5:$C$9,2,0)),0)</f>
        <v>0</v>
      </c>
      <c r="L403" s="6">
        <f>(VendasSem4[[#This Row],[Subtotal]]*(1-VendasSem4[[#This Row],[Desconto]])+VendasSem4[[#This Row],[Valor de Entrega]])</f>
        <v>0.89999999999999991</v>
      </c>
      <c r="M403" s="6" t="str">
        <f>IF(VendasSem4[[#This Row],[Id da Venda]]=B404,"",SUMIF(VendasSem4[Id da Venda],VendasSem4[[#This Row],[Id da Venda]],VendasSem4[Total]))</f>
        <v/>
      </c>
    </row>
    <row r="404" spans="2:13" x14ac:dyDescent="0.25">
      <c r="B404">
        <v>84</v>
      </c>
      <c r="C404" s="7">
        <v>45192</v>
      </c>
      <c r="D404" t="s">
        <v>39</v>
      </c>
      <c r="E404" t="str">
        <f>IFERROR(VLOOKUP(VendasSem4[[#This Row],[Produto]],cálculos!$I$3:$L$50,4,0),"")</f>
        <v>Kg</v>
      </c>
      <c r="F404">
        <v>1</v>
      </c>
      <c r="G404" s="6">
        <f>IFERROR(VLOOKUP(VendasSem4[[#This Row],[Produto]],cálculos!$I$3:$L$50,3,0),0)</f>
        <v>25.9</v>
      </c>
      <c r="H404" s="6">
        <f>IFERROR(VendasSem4[[#This Row],[Quantidade]]*VendasSem4[[#This Row],[Preço Unitário]],0)</f>
        <v>25.9</v>
      </c>
      <c r="I404" s="11"/>
      <c r="J404" t="s">
        <v>109</v>
      </c>
      <c r="K404" s="6">
        <f>IFERROR(IF(VendasSem4[[#This Row],[Id da Venda]]=B405,0,VLOOKUP(VendasSem4[[#This Row],[Região de Entrega]],cálculos!$B$5:$C$9,2,0)),0)</f>
        <v>0</v>
      </c>
      <c r="L404" s="6">
        <f>(VendasSem4[[#This Row],[Subtotal]]*(1-VendasSem4[[#This Row],[Desconto]])+VendasSem4[[#This Row],[Valor de Entrega]])</f>
        <v>25.9</v>
      </c>
      <c r="M404" s="6">
        <f>IF(VendasSem4[[#This Row],[Id da Venda]]=B405,"",SUMIF(VendasSem4[Id da Venda],VendasSem4[[#This Row],[Id da Venda]],VendasSem4[Total]))</f>
        <v>26.799999999999997</v>
      </c>
    </row>
    <row r="405" spans="2:13" x14ac:dyDescent="0.25">
      <c r="B405">
        <v>85</v>
      </c>
      <c r="C405" s="7">
        <v>45192</v>
      </c>
      <c r="D405" t="s">
        <v>40</v>
      </c>
      <c r="E405" t="str">
        <f>IFERROR(VLOOKUP(VendasSem4[[#This Row],[Produto]],cálculos!$I$3:$L$50,4,0),"")</f>
        <v>Garrafa</v>
      </c>
      <c r="F405">
        <v>5</v>
      </c>
      <c r="G405" s="6">
        <f>IFERROR(VLOOKUP(VendasSem4[[#This Row],[Produto]],cálculos!$I$3:$L$50,3,0),0)</f>
        <v>29.9</v>
      </c>
      <c r="H405" s="6">
        <f>IFERROR(VendasSem4[[#This Row],[Quantidade]]*VendasSem4[[#This Row],[Preço Unitário]],0)</f>
        <v>149.5</v>
      </c>
      <c r="I405" s="11"/>
      <c r="J405" t="s">
        <v>109</v>
      </c>
      <c r="K405" s="6">
        <f>IFERROR(IF(VendasSem4[[#This Row],[Id da Venda]]=B406,0,VLOOKUP(VendasSem4[[#This Row],[Região de Entrega]],cálculos!$B$5:$C$9,2,0)),0)</f>
        <v>0</v>
      </c>
      <c r="L405" s="6">
        <f>(VendasSem4[[#This Row],[Subtotal]]*(1-VendasSem4[[#This Row],[Desconto]])+VendasSem4[[#This Row],[Valor de Entrega]])</f>
        <v>149.5</v>
      </c>
      <c r="M405" s="6">
        <f>IF(VendasSem4[[#This Row],[Id da Venda]]=B406,"",SUMIF(VendasSem4[Id da Venda],VendasSem4[[#This Row],[Id da Venda]],VendasSem4[Total]))</f>
        <v>149.5</v>
      </c>
    </row>
    <row r="406" spans="2:13" x14ac:dyDescent="0.25">
      <c r="B406">
        <v>86</v>
      </c>
      <c r="C406" s="7">
        <v>45192</v>
      </c>
      <c r="D406" t="s">
        <v>58</v>
      </c>
      <c r="E406" t="str">
        <f>IFERROR(VLOOKUP(VendasSem4[[#This Row],[Produto]],cálculos!$I$3:$L$50,4,0),"")</f>
        <v>Maço</v>
      </c>
      <c r="F406">
        <v>1</v>
      </c>
      <c r="G406" s="6">
        <f>IFERROR(VLOOKUP(VendasSem4[[#This Row],[Produto]],cálculos!$I$3:$L$50,3,0),0)</f>
        <v>6.75</v>
      </c>
      <c r="H406" s="6">
        <f>IFERROR(VendasSem4[[#This Row],[Quantidade]]*VendasSem4[[#This Row],[Preço Unitário]],0)</f>
        <v>6.75</v>
      </c>
      <c r="I406" s="11"/>
      <c r="J406" t="s">
        <v>109</v>
      </c>
      <c r="K406" s="6">
        <f>IFERROR(IF(VendasSem4[[#This Row],[Id da Venda]]=B407,0,VLOOKUP(VendasSem4[[#This Row],[Região de Entrega]],cálculos!$B$5:$C$9,2,0)),0)</f>
        <v>0</v>
      </c>
      <c r="L406" s="6">
        <f>(VendasSem4[[#This Row],[Subtotal]]*(1-VendasSem4[[#This Row],[Desconto]])+VendasSem4[[#This Row],[Valor de Entrega]])</f>
        <v>6.75</v>
      </c>
      <c r="M406" s="6">
        <f>IF(VendasSem4[[#This Row],[Id da Venda]]=B407,"",SUMIF(VendasSem4[Id da Venda],VendasSem4[[#This Row],[Id da Venda]],VendasSem4[Total]))</f>
        <v>6.75</v>
      </c>
    </row>
    <row r="407" spans="2:13" x14ac:dyDescent="0.25">
      <c r="B407">
        <v>87</v>
      </c>
      <c r="C407" s="7">
        <v>45192</v>
      </c>
      <c r="D407" t="s">
        <v>135</v>
      </c>
      <c r="E407" t="str">
        <f>IFERROR(VLOOKUP(VendasSem4[[#This Row],[Produto]],cálculos!$I$3:$L$50,4,0),"")</f>
        <v>Kg</v>
      </c>
      <c r="F407">
        <v>1</v>
      </c>
      <c r="G407" s="6">
        <f>IFERROR(VLOOKUP(VendasSem4[[#This Row],[Produto]],cálculos!$I$3:$L$50,3,0),0)</f>
        <v>5</v>
      </c>
      <c r="H407" s="6">
        <f>IFERROR(VendasSem4[[#This Row],[Quantidade]]*VendasSem4[[#This Row],[Preço Unitário]],0)</f>
        <v>5</v>
      </c>
      <c r="I407" s="11"/>
      <c r="J407" t="s">
        <v>108</v>
      </c>
      <c r="K407" s="6">
        <f>IFERROR(IF(VendasSem4[[#This Row],[Id da Venda]]=B408,0,VLOOKUP(VendasSem4[[#This Row],[Região de Entrega]],cálculos!$B$5:$C$9,2,0)),0)</f>
        <v>0</v>
      </c>
      <c r="L407" s="6">
        <f>(VendasSem4[[#This Row],[Subtotal]]*(1-VendasSem4[[#This Row],[Desconto]])+VendasSem4[[#This Row],[Valor de Entrega]])</f>
        <v>5</v>
      </c>
      <c r="M407" s="6" t="str">
        <f>IF(VendasSem4[[#This Row],[Id da Venda]]=B408,"",SUMIF(VendasSem4[Id da Venda],VendasSem4[[#This Row],[Id da Venda]],VendasSem4[Total]))</f>
        <v/>
      </c>
    </row>
    <row r="408" spans="2:13" x14ac:dyDescent="0.25">
      <c r="B408">
        <v>87</v>
      </c>
      <c r="C408" s="7">
        <v>45192</v>
      </c>
      <c r="D408" t="s">
        <v>130</v>
      </c>
      <c r="E408" t="str">
        <f>IFERROR(VLOOKUP(VendasSem4[[#This Row],[Produto]],cálculos!$I$3:$L$50,4,0),"")</f>
        <v>Kg</v>
      </c>
      <c r="F408">
        <v>2</v>
      </c>
      <c r="G408" s="6">
        <f>IFERROR(VLOOKUP(VendasSem4[[#This Row],[Produto]],cálculos!$I$3:$L$50,3,0),0)</f>
        <v>2.8</v>
      </c>
      <c r="H408" s="6">
        <f>IFERROR(VendasSem4[[#This Row],[Quantidade]]*VendasSem4[[#This Row],[Preço Unitário]],0)</f>
        <v>5.6</v>
      </c>
      <c r="I408" s="11"/>
      <c r="J408" t="s">
        <v>108</v>
      </c>
      <c r="K408" s="6">
        <f>IFERROR(IF(VendasSem4[[#This Row],[Id da Venda]]=B409,0,VLOOKUP(VendasSem4[[#This Row],[Região de Entrega]],cálculos!$B$5:$C$9,2,0)),0)</f>
        <v>0</v>
      </c>
      <c r="L408" s="6">
        <f>(VendasSem4[[#This Row],[Subtotal]]*(1-VendasSem4[[#This Row],[Desconto]])+VendasSem4[[#This Row],[Valor de Entrega]])</f>
        <v>5.6</v>
      </c>
      <c r="M408" s="6" t="str">
        <f>IF(VendasSem4[[#This Row],[Id da Venda]]=B409,"",SUMIF(VendasSem4[Id da Venda],VendasSem4[[#This Row],[Id da Venda]],VendasSem4[Total]))</f>
        <v/>
      </c>
    </row>
    <row r="409" spans="2:13" x14ac:dyDescent="0.25">
      <c r="B409">
        <v>87</v>
      </c>
      <c r="C409" s="7">
        <v>45192</v>
      </c>
      <c r="D409" t="s">
        <v>45</v>
      </c>
      <c r="E409" t="str">
        <f>IFERROR(VLOOKUP(VendasSem4[[#This Row],[Produto]],cálculos!$I$3:$L$50,4,0),"")</f>
        <v>Lata</v>
      </c>
      <c r="F409">
        <v>1</v>
      </c>
      <c r="G409" s="6">
        <f>IFERROR(VLOOKUP(VendasSem4[[#This Row],[Produto]],cálculos!$I$3:$L$50,3,0),0)</f>
        <v>2.19</v>
      </c>
      <c r="H409" s="6">
        <f>IFERROR(VendasSem4[[#This Row],[Quantidade]]*VendasSem4[[#This Row],[Preço Unitário]],0)</f>
        <v>2.19</v>
      </c>
      <c r="I409" s="11"/>
      <c r="J409" t="s">
        <v>108</v>
      </c>
      <c r="K409" s="6">
        <f>IFERROR(IF(VendasSem4[[#This Row],[Id da Venda]]=B410,0,VLOOKUP(VendasSem4[[#This Row],[Região de Entrega]],cálculos!$B$5:$C$9,2,0)),0)</f>
        <v>0</v>
      </c>
      <c r="L409" s="6">
        <f>(VendasSem4[[#This Row],[Subtotal]]*(1-VendasSem4[[#This Row],[Desconto]])+VendasSem4[[#This Row],[Valor de Entrega]])</f>
        <v>2.19</v>
      </c>
      <c r="M409" s="6" t="str">
        <f>IF(VendasSem4[[#This Row],[Id da Venda]]=B410,"",SUMIF(VendasSem4[Id da Venda],VendasSem4[[#This Row],[Id da Venda]],VendasSem4[Total]))</f>
        <v/>
      </c>
    </row>
    <row r="410" spans="2:13" x14ac:dyDescent="0.25">
      <c r="B410">
        <v>87</v>
      </c>
      <c r="C410" s="7">
        <v>45192</v>
      </c>
      <c r="D410" t="s">
        <v>33</v>
      </c>
      <c r="E410" t="str">
        <f>IFERROR(VLOOKUP(VendasSem4[[#This Row],[Produto]],cálculos!$I$3:$L$50,4,0),"")</f>
        <v>Kg</v>
      </c>
      <c r="F410">
        <v>5</v>
      </c>
      <c r="G410" s="6">
        <f>IFERROR(VLOOKUP(VendasSem4[[#This Row],[Produto]],cálculos!$I$3:$L$50,3,0),0)</f>
        <v>4.28</v>
      </c>
      <c r="H410" s="6">
        <f>IFERROR(VendasSem4[[#This Row],[Quantidade]]*VendasSem4[[#This Row],[Preço Unitário]],0)</f>
        <v>21.400000000000002</v>
      </c>
      <c r="I410" s="11"/>
      <c r="J410" t="s">
        <v>108</v>
      </c>
      <c r="K410" s="6">
        <f>IFERROR(IF(VendasSem4[[#This Row],[Id da Venda]]=B411,0,VLOOKUP(VendasSem4[[#This Row],[Região de Entrega]],cálculos!$B$5:$C$9,2,0)),0)</f>
        <v>0</v>
      </c>
      <c r="L410" s="6">
        <f>(VendasSem4[[#This Row],[Subtotal]]*(1-VendasSem4[[#This Row],[Desconto]])+VendasSem4[[#This Row],[Valor de Entrega]])</f>
        <v>21.400000000000002</v>
      </c>
      <c r="M410" s="6" t="str">
        <f>IF(VendasSem4[[#This Row],[Id da Venda]]=B411,"",SUMIF(VendasSem4[Id da Venda],VendasSem4[[#This Row],[Id da Venda]],VendasSem4[Total]))</f>
        <v/>
      </c>
    </row>
    <row r="411" spans="2:13" x14ac:dyDescent="0.25">
      <c r="B411">
        <v>87</v>
      </c>
      <c r="C411" s="7">
        <v>45192</v>
      </c>
      <c r="D411" t="s">
        <v>123</v>
      </c>
      <c r="E411" t="str">
        <f>IFERROR(VLOOKUP(VendasSem4[[#This Row],[Produto]],cálculos!$I$3:$L$50,4,0),"")</f>
        <v>Kg</v>
      </c>
      <c r="F411">
        <v>1</v>
      </c>
      <c r="G411" s="6">
        <f>IFERROR(VLOOKUP(VendasSem4[[#This Row],[Produto]],cálculos!$I$3:$L$50,3,0),0)</f>
        <v>8</v>
      </c>
      <c r="H411" s="6">
        <f>IFERROR(VendasSem4[[#This Row],[Quantidade]]*VendasSem4[[#This Row],[Preço Unitário]],0)</f>
        <v>8</v>
      </c>
      <c r="I411" s="11"/>
      <c r="J411" t="s">
        <v>108</v>
      </c>
      <c r="K411" s="6">
        <f>IFERROR(IF(VendasSem4[[#This Row],[Id da Venda]]=B412,0,VLOOKUP(VendasSem4[[#This Row],[Região de Entrega]],cálculos!$B$5:$C$9,2,0)),0)</f>
        <v>0</v>
      </c>
      <c r="L411" s="6">
        <f>(VendasSem4[[#This Row],[Subtotal]]*(1-VendasSem4[[#This Row],[Desconto]])+VendasSem4[[#This Row],[Valor de Entrega]])</f>
        <v>8</v>
      </c>
      <c r="M411" s="6" t="str">
        <f>IF(VendasSem4[[#This Row],[Id da Venda]]=B412,"",SUMIF(VendasSem4[Id da Venda],VendasSem4[[#This Row],[Id da Venda]],VendasSem4[Total]))</f>
        <v/>
      </c>
    </row>
    <row r="412" spans="2:13" x14ac:dyDescent="0.25">
      <c r="B412">
        <v>87</v>
      </c>
      <c r="C412" s="7">
        <v>45192</v>
      </c>
      <c r="D412" t="s">
        <v>37</v>
      </c>
      <c r="E412" t="str">
        <f>IFERROR(VLOOKUP(VendasSem4[[#This Row],[Produto]],cálculos!$I$3:$L$50,4,0),"")</f>
        <v>Kg</v>
      </c>
      <c r="F412">
        <v>5</v>
      </c>
      <c r="G412" s="6">
        <f>IFERROR(VLOOKUP(VendasSem4[[#This Row],[Produto]],cálculos!$I$3:$L$50,3,0),0)</f>
        <v>6.98</v>
      </c>
      <c r="H412" s="6">
        <f>IFERROR(VendasSem4[[#This Row],[Quantidade]]*VendasSem4[[#This Row],[Preço Unitário]],0)</f>
        <v>34.900000000000006</v>
      </c>
      <c r="I412" s="11"/>
      <c r="J412" t="s">
        <v>108</v>
      </c>
      <c r="K412" s="6">
        <f>IFERROR(IF(VendasSem4[[#This Row],[Id da Venda]]=B413,0,VLOOKUP(VendasSem4[[#This Row],[Região de Entrega]],cálculos!$B$5:$C$9,2,0)),0)</f>
        <v>0</v>
      </c>
      <c r="L412" s="6">
        <f>(VendasSem4[[#This Row],[Subtotal]]*(1-VendasSem4[[#This Row],[Desconto]])+VendasSem4[[#This Row],[Valor de Entrega]])</f>
        <v>34.900000000000006</v>
      </c>
      <c r="M412" s="6" t="str">
        <f>IF(VendasSem4[[#This Row],[Id da Venda]]=B413,"",SUMIF(VendasSem4[Id da Venda],VendasSem4[[#This Row],[Id da Venda]],VendasSem4[Total]))</f>
        <v/>
      </c>
    </row>
    <row r="413" spans="2:13" x14ac:dyDescent="0.25">
      <c r="B413">
        <v>87</v>
      </c>
      <c r="C413" s="7">
        <v>45192</v>
      </c>
      <c r="D413" t="s">
        <v>35</v>
      </c>
      <c r="E413" t="str">
        <f>IFERROR(VLOOKUP(VendasSem4[[#This Row],[Produto]],cálculos!$I$3:$L$50,4,0),"")</f>
        <v>Unidade</v>
      </c>
      <c r="F413">
        <v>1</v>
      </c>
      <c r="G413" s="6">
        <f>IFERROR(VLOOKUP(VendasSem4[[#This Row],[Produto]],cálculos!$I$3:$L$50,3,0),0)</f>
        <v>2.99</v>
      </c>
      <c r="H413" s="6">
        <f>IFERROR(VendasSem4[[#This Row],[Quantidade]]*VendasSem4[[#This Row],[Preço Unitário]],0)</f>
        <v>2.99</v>
      </c>
      <c r="I413" s="11"/>
      <c r="J413" t="s">
        <v>108</v>
      </c>
      <c r="K413" s="6">
        <f>IFERROR(IF(VendasSem4[[#This Row],[Id da Venda]]=B414,0,VLOOKUP(VendasSem4[[#This Row],[Região de Entrega]],cálculos!$B$5:$C$9,2,0)),0)</f>
        <v>0</v>
      </c>
      <c r="L413" s="6">
        <f>(VendasSem4[[#This Row],[Subtotal]]*(1-VendasSem4[[#This Row],[Desconto]])+VendasSem4[[#This Row],[Valor de Entrega]])</f>
        <v>2.99</v>
      </c>
      <c r="M413" s="6" t="str">
        <f>IF(VendasSem4[[#This Row],[Id da Venda]]=B414,"",SUMIF(VendasSem4[Id da Venda],VendasSem4[[#This Row],[Id da Venda]],VendasSem4[Total]))</f>
        <v/>
      </c>
    </row>
    <row r="414" spans="2:13" x14ac:dyDescent="0.25">
      <c r="B414">
        <v>87</v>
      </c>
      <c r="C414" s="7">
        <v>45192</v>
      </c>
      <c r="D414" t="s">
        <v>119</v>
      </c>
      <c r="E414" t="str">
        <f>IFERROR(VLOOKUP(VendasSem4[[#This Row],[Produto]],cálculos!$I$3:$L$50,4,0),"")</f>
        <v>Kg</v>
      </c>
      <c r="F414">
        <v>3</v>
      </c>
      <c r="G414" s="6">
        <f>IFERROR(VLOOKUP(VendasSem4[[#This Row],[Produto]],cálculos!$I$3:$L$50,3,0),0)</f>
        <v>6.8</v>
      </c>
      <c r="H414" s="6">
        <f>IFERROR(VendasSem4[[#This Row],[Quantidade]]*VendasSem4[[#This Row],[Preço Unitário]],0)</f>
        <v>20.399999999999999</v>
      </c>
      <c r="I414" s="11"/>
      <c r="J414" t="s">
        <v>108</v>
      </c>
      <c r="K414" s="6">
        <f>IFERROR(IF(VendasSem4[[#This Row],[Id da Venda]]=B415,0,VLOOKUP(VendasSem4[[#This Row],[Região de Entrega]],cálculos!$B$5:$C$9,2,0)),0)</f>
        <v>0</v>
      </c>
      <c r="L414" s="6">
        <f>(VendasSem4[[#This Row],[Subtotal]]*(1-VendasSem4[[#This Row],[Desconto]])+VendasSem4[[#This Row],[Valor de Entrega]])</f>
        <v>20.399999999999999</v>
      </c>
      <c r="M414" s="6" t="str">
        <f>IF(VendasSem4[[#This Row],[Id da Venda]]=B415,"",SUMIF(VendasSem4[Id da Venda],VendasSem4[[#This Row],[Id da Venda]],VendasSem4[Total]))</f>
        <v/>
      </c>
    </row>
    <row r="415" spans="2:13" x14ac:dyDescent="0.25">
      <c r="B415">
        <v>87</v>
      </c>
      <c r="C415" s="7">
        <v>45192</v>
      </c>
      <c r="D415" t="s">
        <v>121</v>
      </c>
      <c r="E415" t="str">
        <f>IFERROR(VLOOKUP(VendasSem4[[#This Row],[Produto]],cálculos!$I$3:$L$50,4,0),"")</f>
        <v>Kg</v>
      </c>
      <c r="F415">
        <v>2</v>
      </c>
      <c r="G415" s="6">
        <f>IFERROR(VLOOKUP(VendasSem4[[#This Row],[Produto]],cálculos!$I$3:$L$50,3,0),0)</f>
        <v>12</v>
      </c>
      <c r="H415" s="6">
        <f>IFERROR(VendasSem4[[#This Row],[Quantidade]]*VendasSem4[[#This Row],[Preço Unitário]],0)</f>
        <v>24</v>
      </c>
      <c r="I415" s="11"/>
      <c r="J415" t="s">
        <v>108</v>
      </c>
      <c r="K415" s="6">
        <f>IFERROR(IF(VendasSem4[[#This Row],[Id da Venda]]=B416,0,VLOOKUP(VendasSem4[[#This Row],[Região de Entrega]],cálculos!$B$5:$C$9,2,0)),0)</f>
        <v>0</v>
      </c>
      <c r="L415" s="6">
        <f>(VendasSem4[[#This Row],[Subtotal]]*(1-VendasSem4[[#This Row],[Desconto]])+VendasSem4[[#This Row],[Valor de Entrega]])</f>
        <v>24</v>
      </c>
      <c r="M415" s="6" t="str">
        <f>IF(VendasSem4[[#This Row],[Id da Venda]]=B416,"",SUMIF(VendasSem4[Id da Venda],VendasSem4[[#This Row],[Id da Venda]],VendasSem4[Total]))</f>
        <v/>
      </c>
    </row>
    <row r="416" spans="2:13" x14ac:dyDescent="0.25">
      <c r="B416">
        <v>87</v>
      </c>
      <c r="C416" s="7">
        <v>45192</v>
      </c>
      <c r="D416" t="s">
        <v>47</v>
      </c>
      <c r="E416" t="str">
        <f>IFERROR(VLOOKUP(VendasSem4[[#This Row],[Produto]],cálculos!$I$3:$L$50,4,0),"")</f>
        <v>Unidade</v>
      </c>
      <c r="F416">
        <v>1</v>
      </c>
      <c r="G416" s="6">
        <f>IFERROR(VLOOKUP(VendasSem4[[#This Row],[Produto]],cálculos!$I$3:$L$50,3,0),0)</f>
        <v>2.6</v>
      </c>
      <c r="H416" s="6">
        <f>IFERROR(VendasSem4[[#This Row],[Quantidade]]*VendasSem4[[#This Row],[Preço Unitário]],0)</f>
        <v>2.6</v>
      </c>
      <c r="I416" s="11"/>
      <c r="J416" t="s">
        <v>108</v>
      </c>
      <c r="K416" s="6">
        <f>IFERROR(IF(VendasSem4[[#This Row],[Id da Venda]]=B417,0,VLOOKUP(VendasSem4[[#This Row],[Região de Entrega]],cálculos!$B$5:$C$9,2,0)),0)</f>
        <v>0</v>
      </c>
      <c r="L416" s="6">
        <f>(VendasSem4[[#This Row],[Subtotal]]*(1-VendasSem4[[#This Row],[Desconto]])+VendasSem4[[#This Row],[Valor de Entrega]])</f>
        <v>2.6</v>
      </c>
      <c r="M416" s="6" t="str">
        <f>IF(VendasSem4[[#This Row],[Id da Venda]]=B417,"",SUMIF(VendasSem4[Id da Venda],VendasSem4[[#This Row],[Id da Venda]],VendasSem4[Total]))</f>
        <v/>
      </c>
    </row>
    <row r="417" spans="2:13" x14ac:dyDescent="0.25">
      <c r="B417">
        <v>87</v>
      </c>
      <c r="C417" s="7">
        <v>45192</v>
      </c>
      <c r="D417" t="s">
        <v>120</v>
      </c>
      <c r="E417" t="str">
        <f>IFERROR(VLOOKUP(VendasSem4[[#This Row],[Produto]],cálculos!$I$3:$L$50,4,0),"")</f>
        <v>Kg</v>
      </c>
      <c r="F417">
        <v>1</v>
      </c>
      <c r="G417" s="6">
        <f>IFERROR(VLOOKUP(VendasSem4[[#This Row],[Produto]],cálculos!$I$3:$L$50,3,0),0)</f>
        <v>4.5</v>
      </c>
      <c r="H417" s="6">
        <f>IFERROR(VendasSem4[[#This Row],[Quantidade]]*VendasSem4[[#This Row],[Preço Unitário]],0)</f>
        <v>4.5</v>
      </c>
      <c r="I417" s="11"/>
      <c r="J417" t="s">
        <v>108</v>
      </c>
      <c r="K417" s="6">
        <f>IFERROR(IF(VendasSem4[[#This Row],[Id da Venda]]=B418,0,VLOOKUP(VendasSem4[[#This Row],[Região de Entrega]],cálculos!$B$5:$C$9,2,0)),0)</f>
        <v>10</v>
      </c>
      <c r="L417" s="6">
        <f>(VendasSem4[[#This Row],[Subtotal]]*(1-VendasSem4[[#This Row],[Desconto]])+VendasSem4[[#This Row],[Valor de Entrega]])</f>
        <v>14.5</v>
      </c>
      <c r="M417" s="6">
        <f>IF(VendasSem4[[#This Row],[Id da Venda]]=B418,"",SUMIF(VendasSem4[Id da Venda],VendasSem4[[#This Row],[Id da Venda]],VendasSem4[Total]))</f>
        <v>141.57999999999998</v>
      </c>
    </row>
    <row r="418" spans="2:13" x14ac:dyDescent="0.25">
      <c r="B418">
        <v>88</v>
      </c>
      <c r="C418" s="7">
        <v>45192</v>
      </c>
      <c r="D418" t="s">
        <v>130</v>
      </c>
      <c r="E418" t="str">
        <f>IFERROR(VLOOKUP(VendasSem4[[#This Row],[Produto]],cálculos!$I$3:$L$50,4,0),"")</f>
        <v>Kg</v>
      </c>
      <c r="F418">
        <v>2</v>
      </c>
      <c r="G418" s="6">
        <f>IFERROR(VLOOKUP(VendasSem4[[#This Row],[Produto]],cálculos!$I$3:$L$50,3,0),0)</f>
        <v>2.8</v>
      </c>
      <c r="H418" s="6">
        <f>IFERROR(VendasSem4[[#This Row],[Quantidade]]*VendasSem4[[#This Row],[Preço Unitário]],0)</f>
        <v>5.6</v>
      </c>
      <c r="I418" s="11"/>
      <c r="J418" t="s">
        <v>109</v>
      </c>
      <c r="K418" s="6">
        <f>IFERROR(IF(VendasSem4[[#This Row],[Id da Venda]]=B419,0,VLOOKUP(VendasSem4[[#This Row],[Região de Entrega]],cálculos!$B$5:$C$9,2,0)),0)</f>
        <v>0</v>
      </c>
      <c r="L418" s="6">
        <f>(VendasSem4[[#This Row],[Subtotal]]*(1-VendasSem4[[#This Row],[Desconto]])+VendasSem4[[#This Row],[Valor de Entrega]])</f>
        <v>5.6</v>
      </c>
      <c r="M418" s="6" t="str">
        <f>IF(VendasSem4[[#This Row],[Id da Venda]]=B419,"",SUMIF(VendasSem4[Id da Venda],VendasSem4[[#This Row],[Id da Venda]],VendasSem4[Total]))</f>
        <v/>
      </c>
    </row>
    <row r="419" spans="2:13" x14ac:dyDescent="0.25">
      <c r="B419">
        <v>88</v>
      </c>
      <c r="C419" s="7">
        <v>45192</v>
      </c>
      <c r="D419" t="s">
        <v>59</v>
      </c>
      <c r="E419" t="str">
        <f>IFERROR(VLOOKUP(VendasSem4[[#This Row],[Produto]],cálculos!$I$3:$L$50,4,0),"")</f>
        <v>Pacote</v>
      </c>
      <c r="F419">
        <v>1</v>
      </c>
      <c r="G419" s="6">
        <f>IFERROR(VLOOKUP(VendasSem4[[#This Row],[Produto]],cálculos!$I$3:$L$50,3,0),0)</f>
        <v>1.1499999999999999</v>
      </c>
      <c r="H419" s="6">
        <f>IFERROR(VendasSem4[[#This Row],[Quantidade]]*VendasSem4[[#This Row],[Preço Unitário]],0)</f>
        <v>1.1499999999999999</v>
      </c>
      <c r="I419" s="11"/>
      <c r="J419" t="s">
        <v>109</v>
      </c>
      <c r="K419" s="6">
        <f>IFERROR(IF(VendasSem4[[#This Row],[Id da Venda]]=B420,0,VLOOKUP(VendasSem4[[#This Row],[Região de Entrega]],cálculos!$B$5:$C$9,2,0)),0)</f>
        <v>0</v>
      </c>
      <c r="L419" s="6">
        <f>(VendasSem4[[#This Row],[Subtotal]]*(1-VendasSem4[[#This Row],[Desconto]])+VendasSem4[[#This Row],[Valor de Entrega]])</f>
        <v>1.1499999999999999</v>
      </c>
      <c r="M419" s="6" t="str">
        <f>IF(VendasSem4[[#This Row],[Id da Venda]]=B420,"",SUMIF(VendasSem4[Id da Venda],VendasSem4[[#This Row],[Id da Venda]],VendasSem4[Total]))</f>
        <v/>
      </c>
    </row>
    <row r="420" spans="2:13" x14ac:dyDescent="0.25">
      <c r="B420">
        <v>88</v>
      </c>
      <c r="C420" s="7">
        <v>45192</v>
      </c>
      <c r="D420" t="s">
        <v>121</v>
      </c>
      <c r="E420" t="str">
        <f>IFERROR(VLOOKUP(VendasSem4[[#This Row],[Produto]],cálculos!$I$3:$L$50,4,0),"")</f>
        <v>Kg</v>
      </c>
      <c r="F420">
        <v>3</v>
      </c>
      <c r="G420" s="6">
        <f>IFERROR(VLOOKUP(VendasSem4[[#This Row],[Produto]],cálculos!$I$3:$L$50,3,0),0)</f>
        <v>12</v>
      </c>
      <c r="H420" s="6">
        <f>IFERROR(VendasSem4[[#This Row],[Quantidade]]*VendasSem4[[#This Row],[Preço Unitário]],0)</f>
        <v>36</v>
      </c>
      <c r="I420" s="11"/>
      <c r="J420" t="s">
        <v>109</v>
      </c>
      <c r="K420" s="6">
        <f>IFERROR(IF(VendasSem4[[#This Row],[Id da Venda]]=B421,0,VLOOKUP(VendasSem4[[#This Row],[Região de Entrega]],cálculos!$B$5:$C$9,2,0)),0)</f>
        <v>0</v>
      </c>
      <c r="L420" s="6">
        <f>(VendasSem4[[#This Row],[Subtotal]]*(1-VendasSem4[[#This Row],[Desconto]])+VendasSem4[[#This Row],[Valor de Entrega]])</f>
        <v>36</v>
      </c>
      <c r="M420" s="6">
        <f>IF(VendasSem4[[#This Row],[Id da Venda]]=B421,"",SUMIF(VendasSem4[Id da Venda],VendasSem4[[#This Row],[Id da Venda]],VendasSem4[Total]))</f>
        <v>42.75</v>
      </c>
    </row>
    <row r="421" spans="2:13" x14ac:dyDescent="0.25">
      <c r="B421">
        <v>89</v>
      </c>
      <c r="C421" s="7">
        <v>45192</v>
      </c>
      <c r="D421" t="s">
        <v>35</v>
      </c>
      <c r="E421" t="str">
        <f>IFERROR(VLOOKUP(VendasSem4[[#This Row],[Produto]],cálculos!$I$3:$L$50,4,0),"")</f>
        <v>Unidade</v>
      </c>
      <c r="F421">
        <v>1</v>
      </c>
      <c r="G421" s="6">
        <f>IFERROR(VLOOKUP(VendasSem4[[#This Row],[Produto]],cálculos!$I$3:$L$50,3,0),0)</f>
        <v>2.99</v>
      </c>
      <c r="H421" s="6">
        <f>IFERROR(VendasSem4[[#This Row],[Quantidade]]*VendasSem4[[#This Row],[Preço Unitário]],0)</f>
        <v>2.99</v>
      </c>
      <c r="I421" s="11"/>
      <c r="J421" t="s">
        <v>109</v>
      </c>
      <c r="K421" s="6">
        <f>IFERROR(IF(VendasSem4[[#This Row],[Id da Venda]]=B422,0,VLOOKUP(VendasSem4[[#This Row],[Região de Entrega]],cálculos!$B$5:$C$9,2,0)),0)</f>
        <v>0</v>
      </c>
      <c r="L421" s="6">
        <f>(VendasSem4[[#This Row],[Subtotal]]*(1-VendasSem4[[#This Row],[Desconto]])+VendasSem4[[#This Row],[Valor de Entrega]])</f>
        <v>2.99</v>
      </c>
      <c r="M421" s="6" t="str">
        <f>IF(VendasSem4[[#This Row],[Id da Venda]]=B422,"",SUMIF(VendasSem4[Id da Venda],VendasSem4[[#This Row],[Id da Venda]],VendasSem4[Total]))</f>
        <v/>
      </c>
    </row>
    <row r="422" spans="2:13" x14ac:dyDescent="0.25">
      <c r="B422">
        <v>89</v>
      </c>
      <c r="C422" s="7">
        <v>45192</v>
      </c>
      <c r="D422" t="s">
        <v>129</v>
      </c>
      <c r="E422" t="str">
        <f>IFERROR(VLOOKUP(VendasSem4[[#This Row],[Produto]],cálculos!$I$3:$L$50,4,0),"")</f>
        <v>Unidade</v>
      </c>
      <c r="F422">
        <v>2</v>
      </c>
      <c r="G422" s="6">
        <f>IFERROR(VLOOKUP(VendasSem4[[#This Row],[Produto]],cálculos!$I$3:$L$50,3,0),0)</f>
        <v>18.899999999999999</v>
      </c>
      <c r="H422" s="6">
        <f>IFERROR(VendasSem4[[#This Row],[Quantidade]]*VendasSem4[[#This Row],[Preço Unitário]],0)</f>
        <v>37.799999999999997</v>
      </c>
      <c r="I422" s="11"/>
      <c r="J422" t="s">
        <v>109</v>
      </c>
      <c r="K422" s="6">
        <f>IFERROR(IF(VendasSem4[[#This Row],[Id da Venda]]=B423,0,VLOOKUP(VendasSem4[[#This Row],[Região de Entrega]],cálculos!$B$5:$C$9,2,0)),0)</f>
        <v>0</v>
      </c>
      <c r="L422" s="6">
        <f>(VendasSem4[[#This Row],[Subtotal]]*(1-VendasSem4[[#This Row],[Desconto]])+VendasSem4[[#This Row],[Valor de Entrega]])</f>
        <v>37.799999999999997</v>
      </c>
      <c r="M422" s="6">
        <f>IF(VendasSem4[[#This Row],[Id da Venda]]=B423,"",SUMIF(VendasSem4[Id da Venda],VendasSem4[[#This Row],[Id da Venda]],VendasSem4[Total]))</f>
        <v>40.79</v>
      </c>
    </row>
    <row r="423" spans="2:13" x14ac:dyDescent="0.25">
      <c r="B423">
        <v>90</v>
      </c>
      <c r="C423" s="7">
        <v>45192</v>
      </c>
      <c r="D423" t="s">
        <v>32</v>
      </c>
      <c r="E423" t="str">
        <f>IFERROR(VLOOKUP(VendasSem4[[#This Row],[Produto]],cálculos!$I$3:$L$50,4,0),"")</f>
        <v>Kg</v>
      </c>
      <c r="F423">
        <v>4</v>
      </c>
      <c r="G423" s="6">
        <f>IFERROR(VLOOKUP(VendasSem4[[#This Row],[Produto]],cálculos!$I$3:$L$50,3,0),0)</f>
        <v>2.4900000000000002</v>
      </c>
      <c r="H423" s="6">
        <f>IFERROR(VendasSem4[[#This Row],[Quantidade]]*VendasSem4[[#This Row],[Preço Unitário]],0)</f>
        <v>9.9600000000000009</v>
      </c>
      <c r="I423" s="11"/>
      <c r="J423" t="s">
        <v>110</v>
      </c>
      <c r="K423" s="6">
        <f>IFERROR(IF(VendasSem4[[#This Row],[Id da Venda]]=B424,0,VLOOKUP(VendasSem4[[#This Row],[Região de Entrega]],cálculos!$B$5:$C$9,2,0)),0)</f>
        <v>0</v>
      </c>
      <c r="L423" s="6">
        <f>(VendasSem4[[#This Row],[Subtotal]]*(1-VendasSem4[[#This Row],[Desconto]])+VendasSem4[[#This Row],[Valor de Entrega]])</f>
        <v>9.9600000000000009</v>
      </c>
      <c r="M423" s="6" t="str">
        <f>IF(VendasSem4[[#This Row],[Id da Venda]]=B424,"",SUMIF(VendasSem4[Id da Venda],VendasSem4[[#This Row],[Id da Venda]],VendasSem4[Total]))</f>
        <v/>
      </c>
    </row>
    <row r="424" spans="2:13" x14ac:dyDescent="0.25">
      <c r="B424">
        <v>90</v>
      </c>
      <c r="C424" s="7">
        <v>45192</v>
      </c>
      <c r="D424" t="s">
        <v>66</v>
      </c>
      <c r="E424" t="str">
        <f>IFERROR(VLOOKUP(VendasSem4[[#This Row],[Produto]],cálculos!$I$3:$L$50,4,0),"")</f>
        <v>Litro</v>
      </c>
      <c r="F424">
        <v>3</v>
      </c>
      <c r="G424" s="6">
        <f>IFERROR(VLOOKUP(VendasSem4[[#This Row],[Produto]],cálculos!$I$3:$L$50,3,0),0)</f>
        <v>1.49</v>
      </c>
      <c r="H424" s="6">
        <f>IFERROR(VendasSem4[[#This Row],[Quantidade]]*VendasSem4[[#This Row],[Preço Unitário]],0)</f>
        <v>4.47</v>
      </c>
      <c r="I424" s="11"/>
      <c r="J424" t="s">
        <v>110</v>
      </c>
      <c r="K424" s="6">
        <f>IFERROR(IF(VendasSem4[[#This Row],[Id da Venda]]=B425,0,VLOOKUP(VendasSem4[[#This Row],[Região de Entrega]],cálculos!$B$5:$C$9,2,0)),0)</f>
        <v>0</v>
      </c>
      <c r="L424" s="6">
        <f>(VendasSem4[[#This Row],[Subtotal]]*(1-VendasSem4[[#This Row],[Desconto]])+VendasSem4[[#This Row],[Valor de Entrega]])</f>
        <v>4.47</v>
      </c>
      <c r="M424" s="6" t="str">
        <f>IF(VendasSem4[[#This Row],[Id da Venda]]=B425,"",SUMIF(VendasSem4[Id da Venda],VendasSem4[[#This Row],[Id da Venda]],VendasSem4[Total]))</f>
        <v/>
      </c>
    </row>
    <row r="425" spans="2:13" x14ac:dyDescent="0.25">
      <c r="B425">
        <v>90</v>
      </c>
      <c r="C425" s="7">
        <v>45192</v>
      </c>
      <c r="D425" t="s">
        <v>128</v>
      </c>
      <c r="E425" t="str">
        <f>IFERROR(VLOOKUP(VendasSem4[[#This Row],[Produto]],cálculos!$I$3:$L$50,4,0),"")</f>
        <v>Kg</v>
      </c>
      <c r="F425">
        <v>1</v>
      </c>
      <c r="G425" s="6">
        <f>IFERROR(VLOOKUP(VendasSem4[[#This Row],[Produto]],cálculos!$I$3:$L$50,3,0),0)</f>
        <v>10</v>
      </c>
      <c r="H425" s="6">
        <f>IFERROR(VendasSem4[[#This Row],[Quantidade]]*VendasSem4[[#This Row],[Preço Unitário]],0)</f>
        <v>10</v>
      </c>
      <c r="I425" s="11"/>
      <c r="J425" t="s">
        <v>110</v>
      </c>
      <c r="K425" s="6">
        <f>IFERROR(IF(VendasSem4[[#This Row],[Id da Venda]]=B426,0,VLOOKUP(VendasSem4[[#This Row],[Região de Entrega]],cálculos!$B$5:$C$9,2,0)),0)</f>
        <v>0</v>
      </c>
      <c r="L425" s="6">
        <f>(VendasSem4[[#This Row],[Subtotal]]*(1-VendasSem4[[#This Row],[Desconto]])+VendasSem4[[#This Row],[Valor de Entrega]])</f>
        <v>10</v>
      </c>
      <c r="M425" s="6" t="str">
        <f>IF(VendasSem4[[#This Row],[Id da Venda]]=B426,"",SUMIF(VendasSem4[Id da Venda],VendasSem4[[#This Row],[Id da Venda]],VendasSem4[Total]))</f>
        <v/>
      </c>
    </row>
    <row r="426" spans="2:13" x14ac:dyDescent="0.25">
      <c r="B426">
        <v>90</v>
      </c>
      <c r="C426" s="7">
        <v>45192</v>
      </c>
      <c r="D426" t="s">
        <v>131</v>
      </c>
      <c r="E426" t="str">
        <f>IFERROR(VLOOKUP(VendasSem4[[#This Row],[Produto]],cálculos!$I$3:$L$50,4,0),"")</f>
        <v>Kg</v>
      </c>
      <c r="F426">
        <v>1</v>
      </c>
      <c r="G426" s="6">
        <f>IFERROR(VLOOKUP(VendasSem4[[#This Row],[Produto]],cálculos!$I$3:$L$50,3,0),0)</f>
        <v>3</v>
      </c>
      <c r="H426" s="6">
        <f>IFERROR(VendasSem4[[#This Row],[Quantidade]]*VendasSem4[[#This Row],[Preço Unitário]],0)</f>
        <v>3</v>
      </c>
      <c r="I426" s="11"/>
      <c r="J426" t="s">
        <v>110</v>
      </c>
      <c r="K426" s="6">
        <f>IFERROR(IF(VendasSem4[[#This Row],[Id da Venda]]=B427,0,VLOOKUP(VendasSem4[[#This Row],[Região de Entrega]],cálculos!$B$5:$C$9,2,0)),0)</f>
        <v>0</v>
      </c>
      <c r="L426" s="6">
        <f>(VendasSem4[[#This Row],[Subtotal]]*(1-VendasSem4[[#This Row],[Desconto]])+VendasSem4[[#This Row],[Valor de Entrega]])</f>
        <v>3</v>
      </c>
      <c r="M426" s="6" t="str">
        <f>IF(VendasSem4[[#This Row],[Id da Venda]]=B427,"",SUMIF(VendasSem4[Id da Venda],VendasSem4[[#This Row],[Id da Venda]],VendasSem4[Total]))</f>
        <v/>
      </c>
    </row>
    <row r="427" spans="2:13" x14ac:dyDescent="0.25">
      <c r="B427">
        <v>90</v>
      </c>
      <c r="C427" s="7">
        <v>45192</v>
      </c>
      <c r="D427" t="s">
        <v>36</v>
      </c>
      <c r="E427" t="str">
        <f>IFERROR(VLOOKUP(VendasSem4[[#This Row],[Produto]],cálculos!$I$3:$L$50,4,0),"")</f>
        <v>Kg</v>
      </c>
      <c r="F427">
        <v>5</v>
      </c>
      <c r="G427" s="6">
        <f>IFERROR(VLOOKUP(VendasSem4[[#This Row],[Produto]],cálculos!$I$3:$L$50,3,0),0)</f>
        <v>15.9</v>
      </c>
      <c r="H427" s="6">
        <f>IFERROR(VendasSem4[[#This Row],[Quantidade]]*VendasSem4[[#This Row],[Preço Unitário]],0)</f>
        <v>79.5</v>
      </c>
      <c r="I427" s="11"/>
      <c r="J427" t="s">
        <v>110</v>
      </c>
      <c r="K427" s="6">
        <f>IFERROR(IF(VendasSem4[[#This Row],[Id da Venda]]=B428,0,VLOOKUP(VendasSem4[[#This Row],[Região de Entrega]],cálculos!$B$5:$C$9,2,0)),0)</f>
        <v>0</v>
      </c>
      <c r="L427" s="6">
        <f>(VendasSem4[[#This Row],[Subtotal]]*(1-VendasSem4[[#This Row],[Desconto]])+VendasSem4[[#This Row],[Valor de Entrega]])</f>
        <v>79.5</v>
      </c>
      <c r="M427" s="6" t="str">
        <f>IF(VendasSem4[[#This Row],[Id da Venda]]=B428,"",SUMIF(VendasSem4[Id da Venda],VendasSem4[[#This Row],[Id da Venda]],VendasSem4[Total]))</f>
        <v/>
      </c>
    </row>
    <row r="428" spans="2:13" x14ac:dyDescent="0.25">
      <c r="B428">
        <v>90</v>
      </c>
      <c r="C428" s="7">
        <v>45192</v>
      </c>
      <c r="D428" t="s">
        <v>130</v>
      </c>
      <c r="E428" t="str">
        <f>IFERROR(VLOOKUP(VendasSem4[[#This Row],[Produto]],cálculos!$I$3:$L$50,4,0),"")</f>
        <v>Kg</v>
      </c>
      <c r="F428">
        <v>1</v>
      </c>
      <c r="G428" s="6">
        <f>IFERROR(VLOOKUP(VendasSem4[[#This Row],[Produto]],cálculos!$I$3:$L$50,3,0),0)</f>
        <v>2.8</v>
      </c>
      <c r="H428" s="6">
        <f>IFERROR(VendasSem4[[#This Row],[Quantidade]]*VendasSem4[[#This Row],[Preço Unitário]],0)</f>
        <v>2.8</v>
      </c>
      <c r="I428" s="11"/>
      <c r="J428" t="s">
        <v>110</v>
      </c>
      <c r="K428" s="6">
        <f>IFERROR(IF(VendasSem4[[#This Row],[Id da Venda]]=B429,0,VLOOKUP(VendasSem4[[#This Row],[Região de Entrega]],cálculos!$B$5:$C$9,2,0)),0)</f>
        <v>0</v>
      </c>
      <c r="L428" s="6">
        <f>(VendasSem4[[#This Row],[Subtotal]]*(1-VendasSem4[[#This Row],[Desconto]])+VendasSem4[[#This Row],[Valor de Entrega]])</f>
        <v>2.8</v>
      </c>
      <c r="M428" s="6" t="str">
        <f>IF(VendasSem4[[#This Row],[Id da Venda]]=B429,"",SUMIF(VendasSem4[Id da Venda],VendasSem4[[#This Row],[Id da Venda]],VendasSem4[Total]))</f>
        <v/>
      </c>
    </row>
    <row r="429" spans="2:13" x14ac:dyDescent="0.25">
      <c r="B429">
        <v>90</v>
      </c>
      <c r="C429" s="7">
        <v>45192</v>
      </c>
      <c r="D429" t="s">
        <v>34</v>
      </c>
      <c r="E429" t="str">
        <f>IFERROR(VLOOKUP(VendasSem4[[#This Row],[Produto]],cálculos!$I$3:$L$50,4,0),"")</f>
        <v>Kg</v>
      </c>
      <c r="F429">
        <v>10</v>
      </c>
      <c r="G429" s="6">
        <f>IFERROR(VLOOKUP(VendasSem4[[#This Row],[Produto]],cálculos!$I$3:$L$50,3,0),0)</f>
        <v>5.82</v>
      </c>
      <c r="H429" s="6">
        <f>IFERROR(VendasSem4[[#This Row],[Quantidade]]*VendasSem4[[#This Row],[Preço Unitário]],0)</f>
        <v>58.2</v>
      </c>
      <c r="I429" s="11"/>
      <c r="J429" t="s">
        <v>110</v>
      </c>
      <c r="K429" s="6">
        <f>IFERROR(IF(VendasSem4[[#This Row],[Id da Venda]]=B430,0,VLOOKUP(VendasSem4[[#This Row],[Região de Entrega]],cálculos!$B$5:$C$9,2,0)),0)</f>
        <v>0</v>
      </c>
      <c r="L429" s="6">
        <f>(VendasSem4[[#This Row],[Subtotal]]*(1-VendasSem4[[#This Row],[Desconto]])+VendasSem4[[#This Row],[Valor de Entrega]])</f>
        <v>58.2</v>
      </c>
      <c r="M429" s="6" t="str">
        <f>IF(VendasSem4[[#This Row],[Id da Venda]]=B430,"",SUMIF(VendasSem4[Id da Venda],VendasSem4[[#This Row],[Id da Venda]],VendasSem4[Total]))</f>
        <v/>
      </c>
    </row>
    <row r="430" spans="2:13" x14ac:dyDescent="0.25">
      <c r="B430">
        <v>90</v>
      </c>
      <c r="C430" s="7">
        <v>45192</v>
      </c>
      <c r="D430" t="s">
        <v>39</v>
      </c>
      <c r="E430" t="str">
        <f>IFERROR(VLOOKUP(VendasSem4[[#This Row],[Produto]],cálculos!$I$3:$L$50,4,0),"")</f>
        <v>Kg</v>
      </c>
      <c r="F430">
        <v>2</v>
      </c>
      <c r="G430" s="6">
        <f>IFERROR(VLOOKUP(VendasSem4[[#This Row],[Produto]],cálculos!$I$3:$L$50,3,0),0)</f>
        <v>25.9</v>
      </c>
      <c r="H430" s="6">
        <f>IFERROR(VendasSem4[[#This Row],[Quantidade]]*VendasSem4[[#This Row],[Preço Unitário]],0)</f>
        <v>51.8</v>
      </c>
      <c r="I430" s="11"/>
      <c r="J430" t="s">
        <v>110</v>
      </c>
      <c r="K430" s="6">
        <f>IFERROR(IF(VendasSem4[[#This Row],[Id da Venda]]=B431,0,VLOOKUP(VendasSem4[[#This Row],[Região de Entrega]],cálculos!$B$5:$C$9,2,0)),0)</f>
        <v>0</v>
      </c>
      <c r="L430" s="6">
        <f>(VendasSem4[[#This Row],[Subtotal]]*(1-VendasSem4[[#This Row],[Desconto]])+VendasSem4[[#This Row],[Valor de Entrega]])</f>
        <v>51.8</v>
      </c>
      <c r="M430" s="6" t="str">
        <f>IF(VendasSem4[[#This Row],[Id da Venda]]=B431,"",SUMIF(VendasSem4[Id da Venda],VendasSem4[[#This Row],[Id da Venda]],VendasSem4[Total]))</f>
        <v/>
      </c>
    </row>
    <row r="431" spans="2:13" x14ac:dyDescent="0.25">
      <c r="B431">
        <v>90</v>
      </c>
      <c r="C431" s="7">
        <v>45192</v>
      </c>
      <c r="D431" t="s">
        <v>121</v>
      </c>
      <c r="E431" t="str">
        <f>IFERROR(VLOOKUP(VendasSem4[[#This Row],[Produto]],cálculos!$I$3:$L$50,4,0),"")</f>
        <v>Kg</v>
      </c>
      <c r="F431">
        <v>1</v>
      </c>
      <c r="G431" s="6">
        <f>IFERROR(VLOOKUP(VendasSem4[[#This Row],[Produto]],cálculos!$I$3:$L$50,3,0),0)</f>
        <v>12</v>
      </c>
      <c r="H431" s="6">
        <f>IFERROR(VendasSem4[[#This Row],[Quantidade]]*VendasSem4[[#This Row],[Preço Unitário]],0)</f>
        <v>12</v>
      </c>
      <c r="I431" s="11"/>
      <c r="J431" t="s">
        <v>110</v>
      </c>
      <c r="K431" s="6">
        <f>IFERROR(IF(VendasSem4[[#This Row],[Id da Venda]]=B432,0,VLOOKUP(VendasSem4[[#This Row],[Região de Entrega]],cálculos!$B$5:$C$9,2,0)),0)</f>
        <v>0</v>
      </c>
      <c r="L431" s="6">
        <f>(VendasSem4[[#This Row],[Subtotal]]*(1-VendasSem4[[#This Row],[Desconto]])+VendasSem4[[#This Row],[Valor de Entrega]])</f>
        <v>12</v>
      </c>
      <c r="M431" s="6" t="str">
        <f>IF(VendasSem4[[#This Row],[Id da Venda]]=B432,"",SUMIF(VendasSem4[Id da Venda],VendasSem4[[#This Row],[Id da Venda]],VendasSem4[Total]))</f>
        <v/>
      </c>
    </row>
    <row r="432" spans="2:13" x14ac:dyDescent="0.25">
      <c r="B432">
        <v>90</v>
      </c>
      <c r="C432" s="7">
        <v>45192</v>
      </c>
      <c r="D432" t="s">
        <v>135</v>
      </c>
      <c r="E432" t="str">
        <f>IFERROR(VLOOKUP(VendasSem4[[#This Row],[Produto]],cálculos!$I$3:$L$50,4,0),"")</f>
        <v>Kg</v>
      </c>
      <c r="F432">
        <v>1</v>
      </c>
      <c r="G432" s="6">
        <f>IFERROR(VLOOKUP(VendasSem4[[#This Row],[Produto]],cálculos!$I$3:$L$50,3,0),0)</f>
        <v>5</v>
      </c>
      <c r="H432" s="6">
        <f>IFERROR(VendasSem4[[#This Row],[Quantidade]]*VendasSem4[[#This Row],[Preço Unitário]],0)</f>
        <v>5</v>
      </c>
      <c r="I432" s="11"/>
      <c r="J432" t="s">
        <v>110</v>
      </c>
      <c r="K432" s="6">
        <f>IFERROR(IF(VendasSem4[[#This Row],[Id da Venda]]=B433,0,VLOOKUP(VendasSem4[[#This Row],[Região de Entrega]],cálculos!$B$5:$C$9,2,0)),0)</f>
        <v>0</v>
      </c>
      <c r="L432" s="6">
        <f>(VendasSem4[[#This Row],[Subtotal]]*(1-VendasSem4[[#This Row],[Desconto]])+VendasSem4[[#This Row],[Valor de Entrega]])</f>
        <v>5</v>
      </c>
      <c r="M432" s="6" t="str">
        <f>IF(VendasSem4[[#This Row],[Id da Venda]]=B433,"",SUMIF(VendasSem4[Id da Venda],VendasSem4[[#This Row],[Id da Venda]],VendasSem4[Total]))</f>
        <v/>
      </c>
    </row>
    <row r="433" spans="2:13" x14ac:dyDescent="0.25">
      <c r="B433">
        <v>90</v>
      </c>
      <c r="C433" s="7">
        <v>45192</v>
      </c>
      <c r="D433" t="s">
        <v>37</v>
      </c>
      <c r="E433" t="str">
        <f>IFERROR(VLOOKUP(VendasSem4[[#This Row],[Produto]],cálculos!$I$3:$L$50,4,0),"")</f>
        <v>Kg</v>
      </c>
      <c r="F433">
        <v>10</v>
      </c>
      <c r="G433" s="6">
        <f>IFERROR(VLOOKUP(VendasSem4[[#This Row],[Produto]],cálculos!$I$3:$L$50,3,0),0)</f>
        <v>6.98</v>
      </c>
      <c r="H433" s="6">
        <f>IFERROR(VendasSem4[[#This Row],[Quantidade]]*VendasSem4[[#This Row],[Preço Unitário]],0)</f>
        <v>69.800000000000011</v>
      </c>
      <c r="I433" s="11"/>
      <c r="J433" t="s">
        <v>110</v>
      </c>
      <c r="K433" s="6">
        <f>IFERROR(IF(VendasSem4[[#This Row],[Id da Venda]]=B434,0,VLOOKUP(VendasSem4[[#This Row],[Região de Entrega]],cálculos!$B$5:$C$9,2,0)),0)</f>
        <v>0</v>
      </c>
      <c r="L433" s="6">
        <f>(VendasSem4[[#This Row],[Subtotal]]*(1-VendasSem4[[#This Row],[Desconto]])+VendasSem4[[#This Row],[Valor de Entrega]])</f>
        <v>69.800000000000011</v>
      </c>
      <c r="M433" s="6" t="str">
        <f>IF(VendasSem4[[#This Row],[Id da Venda]]=B434,"",SUMIF(VendasSem4[Id da Venda],VendasSem4[[#This Row],[Id da Venda]],VendasSem4[Total]))</f>
        <v/>
      </c>
    </row>
    <row r="434" spans="2:13" x14ac:dyDescent="0.25">
      <c r="B434">
        <v>90</v>
      </c>
      <c r="C434" s="7">
        <v>45192</v>
      </c>
      <c r="D434" t="s">
        <v>41</v>
      </c>
      <c r="E434" t="str">
        <f>IFERROR(VLOOKUP(VendasSem4[[#This Row],[Produto]],cálculos!$I$3:$L$50,4,0),"")</f>
        <v>Litro</v>
      </c>
      <c r="F434">
        <v>12</v>
      </c>
      <c r="G434" s="6">
        <f>IFERROR(VLOOKUP(VendasSem4[[#This Row],[Produto]],cálculos!$I$3:$L$50,3,0),0)</f>
        <v>3.45</v>
      </c>
      <c r="H434" s="6">
        <f>IFERROR(VendasSem4[[#This Row],[Quantidade]]*VendasSem4[[#This Row],[Preço Unitário]],0)</f>
        <v>41.400000000000006</v>
      </c>
      <c r="I434" s="11"/>
      <c r="J434" t="s">
        <v>110</v>
      </c>
      <c r="K434" s="6">
        <f>IFERROR(IF(VendasSem4[[#This Row],[Id da Venda]]=B435,0,VLOOKUP(VendasSem4[[#This Row],[Região de Entrega]],cálculos!$B$5:$C$9,2,0)),0)</f>
        <v>12.8</v>
      </c>
      <c r="L434" s="6">
        <f>(VendasSem4[[#This Row],[Subtotal]]*(1-VendasSem4[[#This Row],[Desconto]])+VendasSem4[[#This Row],[Valor de Entrega]])</f>
        <v>54.2</v>
      </c>
      <c r="M434" s="6">
        <f>IF(VendasSem4[[#This Row],[Id da Venda]]=B435,"",SUMIF(VendasSem4[Id da Venda],VendasSem4[[#This Row],[Id da Venda]],VendasSem4[Total]))</f>
        <v>360.73</v>
      </c>
    </row>
    <row r="435" spans="2:13" x14ac:dyDescent="0.25">
      <c r="B435">
        <v>91</v>
      </c>
      <c r="C435" s="7">
        <v>45192</v>
      </c>
      <c r="D435" t="s">
        <v>35</v>
      </c>
      <c r="E435" t="str">
        <f>IFERROR(VLOOKUP(VendasSem4[[#This Row],[Produto]],cálculos!$I$3:$L$50,4,0),"")</f>
        <v>Unidade</v>
      </c>
      <c r="F435">
        <v>1</v>
      </c>
      <c r="G435" s="6">
        <f>IFERROR(VLOOKUP(VendasSem4[[#This Row],[Produto]],cálculos!$I$3:$L$50,3,0),0)</f>
        <v>2.99</v>
      </c>
      <c r="H435" s="6">
        <f>IFERROR(VendasSem4[[#This Row],[Quantidade]]*VendasSem4[[#This Row],[Preço Unitário]],0)</f>
        <v>2.99</v>
      </c>
      <c r="I435" s="11"/>
      <c r="J435" t="s">
        <v>112</v>
      </c>
      <c r="K435" s="6">
        <f>IFERROR(IF(VendasSem4[[#This Row],[Id da Venda]]=B436,0,VLOOKUP(VendasSem4[[#This Row],[Região de Entrega]],cálculos!$B$5:$C$9,2,0)),0)</f>
        <v>0</v>
      </c>
      <c r="L435" s="6">
        <f>(VendasSem4[[#This Row],[Subtotal]]*(1-VendasSem4[[#This Row],[Desconto]])+VendasSem4[[#This Row],[Valor de Entrega]])</f>
        <v>2.99</v>
      </c>
      <c r="M435" s="6" t="str">
        <f>IF(VendasSem4[[#This Row],[Id da Venda]]=B436,"",SUMIF(VendasSem4[Id da Venda],VendasSem4[[#This Row],[Id da Venda]],VendasSem4[Total]))</f>
        <v/>
      </c>
    </row>
    <row r="436" spans="2:13" x14ac:dyDescent="0.25">
      <c r="B436">
        <v>91</v>
      </c>
      <c r="C436" s="7">
        <v>45192</v>
      </c>
      <c r="D436" t="s">
        <v>134</v>
      </c>
      <c r="E436" t="str">
        <f>IFERROR(VLOOKUP(VendasSem4[[#This Row],[Produto]],cálculos!$I$3:$L$50,4,0),"")</f>
        <v>Kg</v>
      </c>
      <c r="F436">
        <v>2</v>
      </c>
      <c r="G436" s="6">
        <f>IFERROR(VLOOKUP(VendasSem4[[#This Row],[Produto]],cálculos!$I$3:$L$50,3,0),0)</f>
        <v>24</v>
      </c>
      <c r="H436" s="6">
        <f>IFERROR(VendasSem4[[#This Row],[Quantidade]]*VendasSem4[[#This Row],[Preço Unitário]],0)</f>
        <v>48</v>
      </c>
      <c r="I436" s="11"/>
      <c r="J436" t="s">
        <v>112</v>
      </c>
      <c r="K436" s="6">
        <f>IFERROR(IF(VendasSem4[[#This Row],[Id da Venda]]=B437,0,VLOOKUP(VendasSem4[[#This Row],[Região de Entrega]],cálculos!$B$5:$C$9,2,0)),0)</f>
        <v>0</v>
      </c>
      <c r="L436" s="6">
        <f>(VendasSem4[[#This Row],[Subtotal]]*(1-VendasSem4[[#This Row],[Desconto]])+VendasSem4[[#This Row],[Valor de Entrega]])</f>
        <v>48</v>
      </c>
      <c r="M436" s="6" t="str">
        <f>IF(VendasSem4[[#This Row],[Id da Venda]]=B437,"",SUMIF(VendasSem4[Id da Venda],VendasSem4[[#This Row],[Id da Venda]],VendasSem4[Total]))</f>
        <v/>
      </c>
    </row>
    <row r="437" spans="2:13" x14ac:dyDescent="0.25">
      <c r="B437">
        <v>91</v>
      </c>
      <c r="C437" s="7">
        <v>45192</v>
      </c>
      <c r="D437" t="s">
        <v>123</v>
      </c>
      <c r="E437" t="str">
        <f>IFERROR(VLOOKUP(VendasSem4[[#This Row],[Produto]],cálculos!$I$3:$L$50,4,0),"")</f>
        <v>Kg</v>
      </c>
      <c r="F437">
        <v>2</v>
      </c>
      <c r="G437" s="6">
        <f>IFERROR(VLOOKUP(VendasSem4[[#This Row],[Produto]],cálculos!$I$3:$L$50,3,0),0)</f>
        <v>8</v>
      </c>
      <c r="H437" s="6">
        <f>IFERROR(VendasSem4[[#This Row],[Quantidade]]*VendasSem4[[#This Row],[Preço Unitário]],0)</f>
        <v>16</v>
      </c>
      <c r="I437" s="11"/>
      <c r="J437" t="s">
        <v>112</v>
      </c>
      <c r="K437" s="6">
        <f>IFERROR(IF(VendasSem4[[#This Row],[Id da Venda]]=B438,0,VLOOKUP(VendasSem4[[#This Row],[Região de Entrega]],cálculos!$B$5:$C$9,2,0)),0)</f>
        <v>7</v>
      </c>
      <c r="L437" s="6">
        <f>(VendasSem4[[#This Row],[Subtotal]]*(1-VendasSem4[[#This Row],[Desconto]])+VendasSem4[[#This Row],[Valor de Entrega]])</f>
        <v>23</v>
      </c>
      <c r="M437" s="6">
        <f>IF(VendasSem4[[#This Row],[Id da Venda]]=B438,"",SUMIF(VendasSem4[Id da Venda],VendasSem4[[#This Row],[Id da Venda]],VendasSem4[Total]))</f>
        <v>73.990000000000009</v>
      </c>
    </row>
    <row r="438" spans="2:13" x14ac:dyDescent="0.25">
      <c r="B438">
        <v>92</v>
      </c>
      <c r="C438" s="7">
        <v>45192</v>
      </c>
      <c r="D438" t="s">
        <v>132</v>
      </c>
      <c r="E438" t="str">
        <f>IFERROR(VLOOKUP(VendasSem4[[#This Row],[Produto]],cálculos!$I$3:$L$50,4,0),"")</f>
        <v>Kg</v>
      </c>
      <c r="F438">
        <v>1</v>
      </c>
      <c r="G438" s="6">
        <f>IFERROR(VLOOKUP(VendasSem4[[#This Row],[Produto]],cálculos!$I$3:$L$50,3,0),0)</f>
        <v>2.9</v>
      </c>
      <c r="H438" s="6">
        <f>IFERROR(VendasSem4[[#This Row],[Quantidade]]*VendasSem4[[#This Row],[Preço Unitário]],0)</f>
        <v>2.9</v>
      </c>
      <c r="I438" s="11"/>
      <c r="J438" t="s">
        <v>109</v>
      </c>
      <c r="K438" s="6">
        <f>IFERROR(IF(VendasSem4[[#This Row],[Id da Venda]]=B439,0,VLOOKUP(VendasSem4[[#This Row],[Região de Entrega]],cálculos!$B$5:$C$9,2,0)),0)</f>
        <v>0</v>
      </c>
      <c r="L438" s="6">
        <f>(VendasSem4[[#This Row],[Subtotal]]*(1-VendasSem4[[#This Row],[Desconto]])+VendasSem4[[#This Row],[Valor de Entrega]])</f>
        <v>2.9</v>
      </c>
      <c r="M438" s="6" t="str">
        <f>IF(VendasSem4[[#This Row],[Id da Venda]]=B439,"",SUMIF(VendasSem4[Id da Venda],VendasSem4[[#This Row],[Id da Venda]],VendasSem4[Total]))</f>
        <v/>
      </c>
    </row>
    <row r="439" spans="2:13" x14ac:dyDescent="0.25">
      <c r="B439">
        <v>92</v>
      </c>
      <c r="C439" s="7">
        <v>45192</v>
      </c>
      <c r="D439" t="s">
        <v>118</v>
      </c>
      <c r="E439" t="str">
        <f>IFERROR(VLOOKUP(VendasSem4[[#This Row],[Produto]],cálculos!$I$3:$L$50,4,0),"")</f>
        <v>Kg</v>
      </c>
      <c r="F439">
        <v>3</v>
      </c>
      <c r="G439" s="6">
        <f>IFERROR(VLOOKUP(VendasSem4[[#This Row],[Produto]],cálculos!$I$3:$L$50,3,0),0)</f>
        <v>4</v>
      </c>
      <c r="H439" s="6">
        <f>IFERROR(VendasSem4[[#This Row],[Quantidade]]*VendasSem4[[#This Row],[Preço Unitário]],0)</f>
        <v>12</v>
      </c>
      <c r="I439" s="11"/>
      <c r="J439" t="s">
        <v>109</v>
      </c>
      <c r="K439" s="6">
        <f>IFERROR(IF(VendasSem4[[#This Row],[Id da Venda]]=B440,0,VLOOKUP(VendasSem4[[#This Row],[Região de Entrega]],cálculos!$B$5:$C$9,2,0)),0)</f>
        <v>0</v>
      </c>
      <c r="L439" s="6">
        <f>(VendasSem4[[#This Row],[Subtotal]]*(1-VendasSem4[[#This Row],[Desconto]])+VendasSem4[[#This Row],[Valor de Entrega]])</f>
        <v>12</v>
      </c>
      <c r="M439" s="6">
        <f>IF(VendasSem4[[#This Row],[Id da Venda]]=B440,"",SUMIF(VendasSem4[Id da Venda],VendasSem4[[#This Row],[Id da Venda]],VendasSem4[Total]))</f>
        <v>14.9</v>
      </c>
    </row>
    <row r="440" spans="2:13" x14ac:dyDescent="0.25">
      <c r="B440">
        <v>93</v>
      </c>
      <c r="C440" s="7">
        <v>45192</v>
      </c>
      <c r="D440" t="s">
        <v>66</v>
      </c>
      <c r="E440" t="str">
        <f>IFERROR(VLOOKUP(VendasSem4[[#This Row],[Produto]],cálculos!$I$3:$L$50,4,0),"")</f>
        <v>Litro</v>
      </c>
      <c r="F440">
        <v>5</v>
      </c>
      <c r="G440" s="6">
        <f>IFERROR(VLOOKUP(VendasSem4[[#This Row],[Produto]],cálculos!$I$3:$L$50,3,0),0)</f>
        <v>1.49</v>
      </c>
      <c r="H440" s="6">
        <f>IFERROR(VendasSem4[[#This Row],[Quantidade]]*VendasSem4[[#This Row],[Preço Unitário]],0)</f>
        <v>7.45</v>
      </c>
      <c r="I440" s="11"/>
      <c r="J440" t="s">
        <v>112</v>
      </c>
      <c r="K440" s="6">
        <f>IFERROR(IF(VendasSem4[[#This Row],[Id da Venda]]=B441,0,VLOOKUP(VendasSem4[[#This Row],[Região de Entrega]],cálculos!$B$5:$C$9,2,0)),0)</f>
        <v>0</v>
      </c>
      <c r="L440" s="6">
        <f>(VendasSem4[[#This Row],[Subtotal]]*(1-VendasSem4[[#This Row],[Desconto]])+VendasSem4[[#This Row],[Valor de Entrega]])</f>
        <v>7.45</v>
      </c>
      <c r="M440" s="6" t="str">
        <f>IF(VendasSem4[[#This Row],[Id da Venda]]=B441,"",SUMIF(VendasSem4[Id da Venda],VendasSem4[[#This Row],[Id da Venda]],VendasSem4[Total]))</f>
        <v/>
      </c>
    </row>
    <row r="441" spans="2:13" x14ac:dyDescent="0.25">
      <c r="B441">
        <v>93</v>
      </c>
      <c r="C441" s="7">
        <v>45192</v>
      </c>
      <c r="D441" t="s">
        <v>125</v>
      </c>
      <c r="E441" t="str">
        <f>IFERROR(VLOOKUP(VendasSem4[[#This Row],[Produto]],cálculos!$I$3:$L$50,4,0),"")</f>
        <v>Unidade</v>
      </c>
      <c r="F441">
        <v>1</v>
      </c>
      <c r="G441" s="6">
        <f>IFERROR(VLOOKUP(VendasSem4[[#This Row],[Produto]],cálculos!$I$3:$L$50,3,0),0)</f>
        <v>4.5</v>
      </c>
      <c r="H441" s="6">
        <f>IFERROR(VendasSem4[[#This Row],[Quantidade]]*VendasSem4[[#This Row],[Preço Unitário]],0)</f>
        <v>4.5</v>
      </c>
      <c r="I441" s="11"/>
      <c r="J441" t="s">
        <v>112</v>
      </c>
      <c r="K441" s="6">
        <f>IFERROR(IF(VendasSem4[[#This Row],[Id da Venda]]=B442,0,VLOOKUP(VendasSem4[[#This Row],[Região de Entrega]],cálculos!$B$5:$C$9,2,0)),0)</f>
        <v>0</v>
      </c>
      <c r="L441" s="6">
        <f>(VendasSem4[[#This Row],[Subtotal]]*(1-VendasSem4[[#This Row],[Desconto]])+VendasSem4[[#This Row],[Valor de Entrega]])</f>
        <v>4.5</v>
      </c>
      <c r="M441" s="6" t="str">
        <f>IF(VendasSem4[[#This Row],[Id da Venda]]=B442,"",SUMIF(VendasSem4[Id da Venda],VendasSem4[[#This Row],[Id da Venda]],VendasSem4[Total]))</f>
        <v/>
      </c>
    </row>
    <row r="442" spans="2:13" x14ac:dyDescent="0.25">
      <c r="B442">
        <v>93</v>
      </c>
      <c r="C442" s="7">
        <v>45192</v>
      </c>
      <c r="D442" t="s">
        <v>121</v>
      </c>
      <c r="E442" t="str">
        <f>IFERROR(VLOOKUP(VendasSem4[[#This Row],[Produto]],cálculos!$I$3:$L$50,4,0),"")</f>
        <v>Kg</v>
      </c>
      <c r="F442">
        <v>2</v>
      </c>
      <c r="G442" s="6">
        <f>IFERROR(VLOOKUP(VendasSem4[[#This Row],[Produto]],cálculos!$I$3:$L$50,3,0),0)</f>
        <v>12</v>
      </c>
      <c r="H442" s="6">
        <f>IFERROR(VendasSem4[[#This Row],[Quantidade]]*VendasSem4[[#This Row],[Preço Unitário]],0)</f>
        <v>24</v>
      </c>
      <c r="I442" s="11"/>
      <c r="J442" t="s">
        <v>112</v>
      </c>
      <c r="K442" s="6">
        <f>IFERROR(IF(VendasSem4[[#This Row],[Id da Venda]]=B443,0,VLOOKUP(VendasSem4[[#This Row],[Região de Entrega]],cálculos!$B$5:$C$9,2,0)),0)</f>
        <v>0</v>
      </c>
      <c r="L442" s="6">
        <f>(VendasSem4[[#This Row],[Subtotal]]*(1-VendasSem4[[#This Row],[Desconto]])+VendasSem4[[#This Row],[Valor de Entrega]])</f>
        <v>24</v>
      </c>
      <c r="M442" s="6" t="str">
        <f>IF(VendasSem4[[#This Row],[Id da Venda]]=B443,"",SUMIF(VendasSem4[Id da Venda],VendasSem4[[#This Row],[Id da Venda]],VendasSem4[Total]))</f>
        <v/>
      </c>
    </row>
    <row r="443" spans="2:13" x14ac:dyDescent="0.25">
      <c r="B443">
        <v>93</v>
      </c>
      <c r="C443" s="7">
        <v>45192</v>
      </c>
      <c r="D443" t="s">
        <v>32</v>
      </c>
      <c r="E443" t="str">
        <f>IFERROR(VLOOKUP(VendasSem4[[#This Row],[Produto]],cálculos!$I$3:$L$50,4,0),"")</f>
        <v>Kg</v>
      </c>
      <c r="F443">
        <v>10</v>
      </c>
      <c r="G443" s="6">
        <f>IFERROR(VLOOKUP(VendasSem4[[#This Row],[Produto]],cálculos!$I$3:$L$50,3,0),0)</f>
        <v>2.4900000000000002</v>
      </c>
      <c r="H443" s="6">
        <f>IFERROR(VendasSem4[[#This Row],[Quantidade]]*VendasSem4[[#This Row],[Preço Unitário]],0)</f>
        <v>24.900000000000002</v>
      </c>
      <c r="I443" s="11"/>
      <c r="J443" t="s">
        <v>112</v>
      </c>
      <c r="K443" s="6">
        <f>IFERROR(IF(VendasSem4[[#This Row],[Id da Venda]]=B444,0,VLOOKUP(VendasSem4[[#This Row],[Região de Entrega]],cálculos!$B$5:$C$9,2,0)),0)</f>
        <v>0</v>
      </c>
      <c r="L443" s="6">
        <f>(VendasSem4[[#This Row],[Subtotal]]*(1-VendasSem4[[#This Row],[Desconto]])+VendasSem4[[#This Row],[Valor de Entrega]])</f>
        <v>24.900000000000002</v>
      </c>
      <c r="M443" s="6" t="str">
        <f>IF(VendasSem4[[#This Row],[Id da Venda]]=B444,"",SUMIF(VendasSem4[Id da Venda],VendasSem4[[#This Row],[Id da Venda]],VendasSem4[Total]))</f>
        <v/>
      </c>
    </row>
    <row r="444" spans="2:13" x14ac:dyDescent="0.25">
      <c r="B444">
        <v>93</v>
      </c>
      <c r="C444" s="7">
        <v>45192</v>
      </c>
      <c r="D444" t="s">
        <v>33</v>
      </c>
      <c r="E444" t="str">
        <f>IFERROR(VLOOKUP(VendasSem4[[#This Row],[Produto]],cálculos!$I$3:$L$50,4,0),"")</f>
        <v>Kg</v>
      </c>
      <c r="F444">
        <v>2</v>
      </c>
      <c r="G444" s="6">
        <f>IFERROR(VLOOKUP(VendasSem4[[#This Row],[Produto]],cálculos!$I$3:$L$50,3,0),0)</f>
        <v>4.28</v>
      </c>
      <c r="H444" s="6">
        <f>IFERROR(VendasSem4[[#This Row],[Quantidade]]*VendasSem4[[#This Row],[Preço Unitário]],0)</f>
        <v>8.56</v>
      </c>
      <c r="I444" s="11"/>
      <c r="J444" t="s">
        <v>112</v>
      </c>
      <c r="K444" s="6">
        <f>IFERROR(IF(VendasSem4[[#This Row],[Id da Venda]]=B445,0,VLOOKUP(VendasSem4[[#This Row],[Região de Entrega]],cálculos!$B$5:$C$9,2,0)),0)</f>
        <v>0</v>
      </c>
      <c r="L444" s="6">
        <f>(VendasSem4[[#This Row],[Subtotal]]*(1-VendasSem4[[#This Row],[Desconto]])+VendasSem4[[#This Row],[Valor de Entrega]])</f>
        <v>8.56</v>
      </c>
      <c r="M444" s="6" t="str">
        <f>IF(VendasSem4[[#This Row],[Id da Venda]]=B445,"",SUMIF(VendasSem4[Id da Venda],VendasSem4[[#This Row],[Id da Venda]],VendasSem4[Total]))</f>
        <v/>
      </c>
    </row>
    <row r="445" spans="2:13" x14ac:dyDescent="0.25">
      <c r="B445">
        <v>93</v>
      </c>
      <c r="C445" s="7">
        <v>45192</v>
      </c>
      <c r="D445" t="s">
        <v>71</v>
      </c>
      <c r="E445" t="str">
        <f>IFERROR(VLOOKUP(VendasSem4[[#This Row],[Produto]],cálculos!$I$3:$L$50,4,0),"")</f>
        <v>Unidade</v>
      </c>
      <c r="F445">
        <v>1</v>
      </c>
      <c r="G445" s="6">
        <f>IFERROR(VLOOKUP(VendasSem4[[#This Row],[Produto]],cálculos!$I$3:$L$50,3,0),0)</f>
        <v>2.89</v>
      </c>
      <c r="H445" s="6">
        <f>IFERROR(VendasSem4[[#This Row],[Quantidade]]*VendasSem4[[#This Row],[Preço Unitário]],0)</f>
        <v>2.89</v>
      </c>
      <c r="I445" s="11"/>
      <c r="J445" t="s">
        <v>112</v>
      </c>
      <c r="K445" s="6">
        <f>IFERROR(IF(VendasSem4[[#This Row],[Id da Venda]]=B446,0,VLOOKUP(VendasSem4[[#This Row],[Região de Entrega]],cálculos!$B$5:$C$9,2,0)),0)</f>
        <v>0</v>
      </c>
      <c r="L445" s="6">
        <f>(VendasSem4[[#This Row],[Subtotal]]*(1-VendasSem4[[#This Row],[Desconto]])+VendasSem4[[#This Row],[Valor de Entrega]])</f>
        <v>2.89</v>
      </c>
      <c r="M445" s="6" t="str">
        <f>IF(VendasSem4[[#This Row],[Id da Venda]]=B446,"",SUMIF(VendasSem4[Id da Venda],VendasSem4[[#This Row],[Id da Venda]],VendasSem4[Total]))</f>
        <v/>
      </c>
    </row>
    <row r="446" spans="2:13" x14ac:dyDescent="0.25">
      <c r="B446">
        <v>93</v>
      </c>
      <c r="C446" s="7">
        <v>45192</v>
      </c>
      <c r="D446" t="s">
        <v>47</v>
      </c>
      <c r="E446" t="str">
        <f>IFERROR(VLOOKUP(VendasSem4[[#This Row],[Produto]],cálculos!$I$3:$L$50,4,0),"")</f>
        <v>Unidade</v>
      </c>
      <c r="F446">
        <v>1</v>
      </c>
      <c r="G446" s="6">
        <f>IFERROR(VLOOKUP(VendasSem4[[#This Row],[Produto]],cálculos!$I$3:$L$50,3,0),0)</f>
        <v>2.6</v>
      </c>
      <c r="H446" s="6">
        <f>IFERROR(VendasSem4[[#This Row],[Quantidade]]*VendasSem4[[#This Row],[Preço Unitário]],0)</f>
        <v>2.6</v>
      </c>
      <c r="I446" s="11"/>
      <c r="J446" t="s">
        <v>112</v>
      </c>
      <c r="K446" s="6">
        <f>IFERROR(IF(VendasSem4[[#This Row],[Id da Venda]]=B447,0,VLOOKUP(VendasSem4[[#This Row],[Região de Entrega]],cálculos!$B$5:$C$9,2,0)),0)</f>
        <v>0</v>
      </c>
      <c r="L446" s="6">
        <f>(VendasSem4[[#This Row],[Subtotal]]*(1-VendasSem4[[#This Row],[Desconto]])+VendasSem4[[#This Row],[Valor de Entrega]])</f>
        <v>2.6</v>
      </c>
      <c r="M446" s="6" t="str">
        <f>IF(VendasSem4[[#This Row],[Id da Venda]]=B447,"",SUMIF(VendasSem4[Id da Venda],VendasSem4[[#This Row],[Id da Venda]],VendasSem4[Total]))</f>
        <v/>
      </c>
    </row>
    <row r="447" spans="2:13" x14ac:dyDescent="0.25">
      <c r="B447">
        <v>93</v>
      </c>
      <c r="C447" s="7">
        <v>45192</v>
      </c>
      <c r="D447" t="s">
        <v>127</v>
      </c>
      <c r="E447" t="str">
        <f>IFERROR(VLOOKUP(VendasSem4[[#This Row],[Produto]],cálculos!$I$3:$L$50,4,0),"")</f>
        <v>Kg</v>
      </c>
      <c r="F447">
        <v>2</v>
      </c>
      <c r="G447" s="6">
        <f>IFERROR(VLOOKUP(VendasSem4[[#This Row],[Produto]],cálculos!$I$3:$L$50,3,0),0)</f>
        <v>6.9</v>
      </c>
      <c r="H447" s="6">
        <f>IFERROR(VendasSem4[[#This Row],[Quantidade]]*VendasSem4[[#This Row],[Preço Unitário]],0)</f>
        <v>13.8</v>
      </c>
      <c r="I447" s="11"/>
      <c r="J447" t="s">
        <v>112</v>
      </c>
      <c r="K447" s="6">
        <f>IFERROR(IF(VendasSem4[[#This Row],[Id da Venda]]=B448,0,VLOOKUP(VendasSem4[[#This Row],[Região de Entrega]],cálculos!$B$5:$C$9,2,0)),0)</f>
        <v>0</v>
      </c>
      <c r="L447" s="6">
        <f>(VendasSem4[[#This Row],[Subtotal]]*(1-VendasSem4[[#This Row],[Desconto]])+VendasSem4[[#This Row],[Valor de Entrega]])</f>
        <v>13.8</v>
      </c>
      <c r="M447" s="6" t="str">
        <f>IF(VendasSem4[[#This Row],[Id da Venda]]=B448,"",SUMIF(VendasSem4[Id da Venda],VendasSem4[[#This Row],[Id da Venda]],VendasSem4[Total]))</f>
        <v/>
      </c>
    </row>
    <row r="448" spans="2:13" x14ac:dyDescent="0.25">
      <c r="B448">
        <v>93</v>
      </c>
      <c r="C448" s="7">
        <v>45192</v>
      </c>
      <c r="D448" t="s">
        <v>128</v>
      </c>
      <c r="E448" t="str">
        <f>IFERROR(VLOOKUP(VendasSem4[[#This Row],[Produto]],cálculos!$I$3:$L$50,4,0),"")</f>
        <v>Kg</v>
      </c>
      <c r="F448">
        <v>1</v>
      </c>
      <c r="G448" s="6">
        <f>IFERROR(VLOOKUP(VendasSem4[[#This Row],[Produto]],cálculos!$I$3:$L$50,3,0),0)</f>
        <v>10</v>
      </c>
      <c r="H448" s="6">
        <f>IFERROR(VendasSem4[[#This Row],[Quantidade]]*VendasSem4[[#This Row],[Preço Unitário]],0)</f>
        <v>10</v>
      </c>
      <c r="I448" s="11"/>
      <c r="J448" t="s">
        <v>112</v>
      </c>
      <c r="K448" s="6">
        <f>IFERROR(IF(VendasSem4[[#This Row],[Id da Venda]]=B449,0,VLOOKUP(VendasSem4[[#This Row],[Região de Entrega]],cálculos!$B$5:$C$9,2,0)),0)</f>
        <v>0</v>
      </c>
      <c r="L448" s="6">
        <f>(VendasSem4[[#This Row],[Subtotal]]*(1-VendasSem4[[#This Row],[Desconto]])+VendasSem4[[#This Row],[Valor de Entrega]])</f>
        <v>10</v>
      </c>
      <c r="M448" s="6" t="str">
        <f>IF(VendasSem4[[#This Row],[Id da Venda]]=B449,"",SUMIF(VendasSem4[Id da Venda],VendasSem4[[#This Row],[Id da Venda]],VendasSem4[Total]))</f>
        <v/>
      </c>
    </row>
    <row r="449" spans="2:13" x14ac:dyDescent="0.25">
      <c r="B449">
        <v>93</v>
      </c>
      <c r="C449" s="7">
        <v>45192</v>
      </c>
      <c r="D449" t="s">
        <v>45</v>
      </c>
      <c r="E449" t="str">
        <f>IFERROR(VLOOKUP(VendasSem4[[#This Row],[Produto]],cálculos!$I$3:$L$50,4,0),"")</f>
        <v>Lata</v>
      </c>
      <c r="F449">
        <v>15</v>
      </c>
      <c r="G449" s="6">
        <f>IFERROR(VLOOKUP(VendasSem4[[#This Row],[Produto]],cálculos!$I$3:$L$50,3,0),0)</f>
        <v>2.19</v>
      </c>
      <c r="H449" s="6">
        <f>IFERROR(VendasSem4[[#This Row],[Quantidade]]*VendasSem4[[#This Row],[Preço Unitário]],0)</f>
        <v>32.85</v>
      </c>
      <c r="I449" s="11"/>
      <c r="J449" t="s">
        <v>112</v>
      </c>
      <c r="K449" s="6">
        <f>IFERROR(IF(VendasSem4[[#This Row],[Id da Venda]]=B450,0,VLOOKUP(VendasSem4[[#This Row],[Região de Entrega]],cálculos!$B$5:$C$9,2,0)),0)</f>
        <v>0</v>
      </c>
      <c r="L449" s="6">
        <f>(VendasSem4[[#This Row],[Subtotal]]*(1-VendasSem4[[#This Row],[Desconto]])+VendasSem4[[#This Row],[Valor de Entrega]])</f>
        <v>32.85</v>
      </c>
      <c r="M449" s="6" t="str">
        <f>IF(VendasSem4[[#This Row],[Id da Venda]]=B450,"",SUMIF(VendasSem4[Id da Venda],VendasSem4[[#This Row],[Id da Venda]],VendasSem4[Total]))</f>
        <v/>
      </c>
    </row>
    <row r="450" spans="2:13" x14ac:dyDescent="0.25">
      <c r="B450">
        <v>93</v>
      </c>
      <c r="C450" s="7">
        <v>45192</v>
      </c>
      <c r="D450" t="s">
        <v>59</v>
      </c>
      <c r="E450" t="str">
        <f>IFERROR(VLOOKUP(VendasSem4[[#This Row],[Produto]],cálculos!$I$3:$L$50,4,0),"")</f>
        <v>Pacote</v>
      </c>
      <c r="F450">
        <v>1</v>
      </c>
      <c r="G450" s="6">
        <f>IFERROR(VLOOKUP(VendasSem4[[#This Row],[Produto]],cálculos!$I$3:$L$50,3,0),0)</f>
        <v>1.1499999999999999</v>
      </c>
      <c r="H450" s="6">
        <f>IFERROR(VendasSem4[[#This Row],[Quantidade]]*VendasSem4[[#This Row],[Preço Unitário]],0)</f>
        <v>1.1499999999999999</v>
      </c>
      <c r="I450" s="11"/>
      <c r="J450" t="s">
        <v>112</v>
      </c>
      <c r="K450" s="6">
        <f>IFERROR(IF(VendasSem4[[#This Row],[Id da Venda]]=B451,0,VLOOKUP(VendasSem4[[#This Row],[Região de Entrega]],cálculos!$B$5:$C$9,2,0)),0)</f>
        <v>0</v>
      </c>
      <c r="L450" s="6">
        <f>(VendasSem4[[#This Row],[Subtotal]]*(1-VendasSem4[[#This Row],[Desconto]])+VendasSem4[[#This Row],[Valor de Entrega]])</f>
        <v>1.1499999999999999</v>
      </c>
      <c r="M450" s="6" t="str">
        <f>IF(VendasSem4[[#This Row],[Id da Venda]]=B451,"",SUMIF(VendasSem4[Id da Venda],VendasSem4[[#This Row],[Id da Venda]],VendasSem4[Total]))</f>
        <v/>
      </c>
    </row>
    <row r="451" spans="2:13" x14ac:dyDescent="0.25">
      <c r="B451">
        <v>93</v>
      </c>
      <c r="C451" s="7">
        <v>45192</v>
      </c>
      <c r="D451" t="s">
        <v>36</v>
      </c>
      <c r="E451" t="str">
        <f>IFERROR(VLOOKUP(VendasSem4[[#This Row],[Produto]],cálculos!$I$3:$L$50,4,0),"")</f>
        <v>Kg</v>
      </c>
      <c r="F451">
        <v>5</v>
      </c>
      <c r="G451" s="6">
        <f>IFERROR(VLOOKUP(VendasSem4[[#This Row],[Produto]],cálculos!$I$3:$L$50,3,0),0)</f>
        <v>15.9</v>
      </c>
      <c r="H451" s="6">
        <f>IFERROR(VendasSem4[[#This Row],[Quantidade]]*VendasSem4[[#This Row],[Preço Unitário]],0)</f>
        <v>79.5</v>
      </c>
      <c r="I451" s="11"/>
      <c r="J451" t="s">
        <v>112</v>
      </c>
      <c r="K451" s="6">
        <f>IFERROR(IF(VendasSem4[[#This Row],[Id da Venda]]=B452,0,VLOOKUP(VendasSem4[[#This Row],[Região de Entrega]],cálculos!$B$5:$C$9,2,0)),0)</f>
        <v>0</v>
      </c>
      <c r="L451" s="6">
        <f>(VendasSem4[[#This Row],[Subtotal]]*(1-VendasSem4[[#This Row],[Desconto]])+VendasSem4[[#This Row],[Valor de Entrega]])</f>
        <v>79.5</v>
      </c>
      <c r="M451" s="6" t="str">
        <f>IF(VendasSem4[[#This Row],[Id da Venda]]=B452,"",SUMIF(VendasSem4[Id da Venda],VendasSem4[[#This Row],[Id da Venda]],VendasSem4[Total]))</f>
        <v/>
      </c>
    </row>
    <row r="452" spans="2:13" x14ac:dyDescent="0.25">
      <c r="B452">
        <v>93</v>
      </c>
      <c r="C452" s="7">
        <v>45192</v>
      </c>
      <c r="D452" t="s">
        <v>35</v>
      </c>
      <c r="E452" t="str">
        <f>IFERROR(VLOOKUP(VendasSem4[[#This Row],[Produto]],cálculos!$I$3:$L$50,4,0),"")</f>
        <v>Unidade</v>
      </c>
      <c r="F452">
        <v>2</v>
      </c>
      <c r="G452" s="6">
        <f>IFERROR(VLOOKUP(VendasSem4[[#This Row],[Produto]],cálculos!$I$3:$L$50,3,0),0)</f>
        <v>2.99</v>
      </c>
      <c r="H452" s="6">
        <f>IFERROR(VendasSem4[[#This Row],[Quantidade]]*VendasSem4[[#This Row],[Preço Unitário]],0)</f>
        <v>5.98</v>
      </c>
      <c r="I452" s="11"/>
      <c r="J452" t="s">
        <v>112</v>
      </c>
      <c r="K452" s="6">
        <f>IFERROR(IF(VendasSem4[[#This Row],[Id da Venda]]=B453,0,VLOOKUP(VendasSem4[[#This Row],[Região de Entrega]],cálculos!$B$5:$C$9,2,0)),0)</f>
        <v>0</v>
      </c>
      <c r="L452" s="6">
        <f>(VendasSem4[[#This Row],[Subtotal]]*(1-VendasSem4[[#This Row],[Desconto]])+VendasSem4[[#This Row],[Valor de Entrega]])</f>
        <v>5.98</v>
      </c>
      <c r="M452" s="6" t="str">
        <f>IF(VendasSem4[[#This Row],[Id da Venda]]=B453,"",SUMIF(VendasSem4[Id da Venda],VendasSem4[[#This Row],[Id da Venda]],VendasSem4[Total]))</f>
        <v/>
      </c>
    </row>
    <row r="453" spans="2:13" x14ac:dyDescent="0.25">
      <c r="B453">
        <v>93</v>
      </c>
      <c r="C453" s="7">
        <v>45192</v>
      </c>
      <c r="D453" t="s">
        <v>120</v>
      </c>
      <c r="E453" t="str">
        <f>IFERROR(VLOOKUP(VendasSem4[[#This Row],[Produto]],cálculos!$I$3:$L$50,4,0),"")</f>
        <v>Kg</v>
      </c>
      <c r="F453">
        <v>3</v>
      </c>
      <c r="G453" s="6">
        <f>IFERROR(VLOOKUP(VendasSem4[[#This Row],[Produto]],cálculos!$I$3:$L$50,3,0),0)</f>
        <v>4.5</v>
      </c>
      <c r="H453" s="6">
        <f>IFERROR(VendasSem4[[#This Row],[Quantidade]]*VendasSem4[[#This Row],[Preço Unitário]],0)</f>
        <v>13.5</v>
      </c>
      <c r="I453" s="11"/>
      <c r="J453" t="s">
        <v>112</v>
      </c>
      <c r="K453" s="6">
        <f>IFERROR(IF(VendasSem4[[#This Row],[Id da Venda]]=B454,0,VLOOKUP(VendasSem4[[#This Row],[Região de Entrega]],cálculos!$B$5:$C$9,2,0)),0)</f>
        <v>0</v>
      </c>
      <c r="L453" s="6">
        <f>(VendasSem4[[#This Row],[Subtotal]]*(1-VendasSem4[[#This Row],[Desconto]])+VendasSem4[[#This Row],[Valor de Entrega]])</f>
        <v>13.5</v>
      </c>
      <c r="M453" s="6" t="str">
        <f>IF(VendasSem4[[#This Row],[Id da Venda]]=B454,"",SUMIF(VendasSem4[Id da Venda],VendasSem4[[#This Row],[Id da Venda]],VendasSem4[Total]))</f>
        <v/>
      </c>
    </row>
    <row r="454" spans="2:13" x14ac:dyDescent="0.25">
      <c r="B454">
        <v>93</v>
      </c>
      <c r="C454" s="7">
        <v>45192</v>
      </c>
      <c r="D454" t="s">
        <v>34</v>
      </c>
      <c r="E454" t="str">
        <f>IFERROR(VLOOKUP(VendasSem4[[#This Row],[Produto]],cálculos!$I$3:$L$50,4,0),"")</f>
        <v>Kg</v>
      </c>
      <c r="F454">
        <v>5</v>
      </c>
      <c r="G454" s="6">
        <f>IFERROR(VLOOKUP(VendasSem4[[#This Row],[Produto]],cálculos!$I$3:$L$50,3,0),0)</f>
        <v>5.82</v>
      </c>
      <c r="H454" s="6">
        <f>IFERROR(VendasSem4[[#This Row],[Quantidade]]*VendasSem4[[#This Row],[Preço Unitário]],0)</f>
        <v>29.1</v>
      </c>
      <c r="I454" s="11"/>
      <c r="J454" t="s">
        <v>112</v>
      </c>
      <c r="K454" s="6">
        <f>IFERROR(IF(VendasSem4[[#This Row],[Id da Venda]]=B455,0,VLOOKUP(VendasSem4[[#This Row],[Região de Entrega]],cálculos!$B$5:$C$9,2,0)),0)</f>
        <v>0</v>
      </c>
      <c r="L454" s="6">
        <f>(VendasSem4[[#This Row],[Subtotal]]*(1-VendasSem4[[#This Row],[Desconto]])+VendasSem4[[#This Row],[Valor de Entrega]])</f>
        <v>29.1</v>
      </c>
      <c r="M454" s="6" t="str">
        <f>IF(VendasSem4[[#This Row],[Id da Venda]]=B455,"",SUMIF(VendasSem4[Id da Venda],VendasSem4[[#This Row],[Id da Venda]],VendasSem4[Total]))</f>
        <v/>
      </c>
    </row>
    <row r="455" spans="2:13" x14ac:dyDescent="0.25">
      <c r="B455">
        <v>93</v>
      </c>
      <c r="C455" s="7">
        <v>45192</v>
      </c>
      <c r="D455" t="s">
        <v>58</v>
      </c>
      <c r="E455" t="str">
        <f>IFERROR(VLOOKUP(VendasSem4[[#This Row],[Produto]],cálculos!$I$3:$L$50,4,0),"")</f>
        <v>Maço</v>
      </c>
      <c r="F455">
        <v>2</v>
      </c>
      <c r="G455" s="6">
        <f>IFERROR(VLOOKUP(VendasSem4[[#This Row],[Produto]],cálculos!$I$3:$L$50,3,0),0)</f>
        <v>6.75</v>
      </c>
      <c r="H455" s="6">
        <f>IFERROR(VendasSem4[[#This Row],[Quantidade]]*VendasSem4[[#This Row],[Preço Unitário]],0)</f>
        <v>13.5</v>
      </c>
      <c r="I455" s="11"/>
      <c r="J455" t="s">
        <v>112</v>
      </c>
      <c r="K455" s="6">
        <f>IFERROR(IF(VendasSem4[[#This Row],[Id da Venda]]=B456,0,VLOOKUP(VendasSem4[[#This Row],[Região de Entrega]],cálculos!$B$5:$C$9,2,0)),0)</f>
        <v>0</v>
      </c>
      <c r="L455" s="6">
        <f>(VendasSem4[[#This Row],[Subtotal]]*(1-VendasSem4[[#This Row],[Desconto]])+VendasSem4[[#This Row],[Valor de Entrega]])</f>
        <v>13.5</v>
      </c>
      <c r="M455" s="6" t="str">
        <f>IF(VendasSem4[[#This Row],[Id da Venda]]=B456,"",SUMIF(VendasSem4[Id da Venda],VendasSem4[[#This Row],[Id da Venda]],VendasSem4[Total]))</f>
        <v/>
      </c>
    </row>
    <row r="456" spans="2:13" x14ac:dyDescent="0.25">
      <c r="B456">
        <v>93</v>
      </c>
      <c r="C456" s="7">
        <v>45192</v>
      </c>
      <c r="D456" t="s">
        <v>37</v>
      </c>
      <c r="E456" t="str">
        <f>IFERROR(VLOOKUP(VendasSem4[[#This Row],[Produto]],cálculos!$I$3:$L$50,4,0),"")</f>
        <v>Kg</v>
      </c>
      <c r="F456">
        <v>7</v>
      </c>
      <c r="G456" s="6">
        <f>IFERROR(VLOOKUP(VendasSem4[[#This Row],[Produto]],cálculos!$I$3:$L$50,3,0),0)</f>
        <v>6.98</v>
      </c>
      <c r="H456" s="6">
        <f>IFERROR(VendasSem4[[#This Row],[Quantidade]]*VendasSem4[[#This Row],[Preço Unitário]],0)</f>
        <v>48.86</v>
      </c>
      <c r="I456" s="11"/>
      <c r="J456" t="s">
        <v>112</v>
      </c>
      <c r="K456" s="6">
        <f>IFERROR(IF(VendasSem4[[#This Row],[Id da Venda]]=B457,0,VLOOKUP(VendasSem4[[#This Row],[Região de Entrega]],cálculos!$B$5:$C$9,2,0)),0)</f>
        <v>0</v>
      </c>
      <c r="L456" s="6">
        <f>(VendasSem4[[#This Row],[Subtotal]]*(1-VendasSem4[[#This Row],[Desconto]])+VendasSem4[[#This Row],[Valor de Entrega]])</f>
        <v>48.86</v>
      </c>
      <c r="M456" s="6" t="str">
        <f>IF(VendasSem4[[#This Row],[Id da Venda]]=B457,"",SUMIF(VendasSem4[Id da Venda],VendasSem4[[#This Row],[Id da Venda]],VendasSem4[Total]))</f>
        <v/>
      </c>
    </row>
    <row r="457" spans="2:13" x14ac:dyDescent="0.25">
      <c r="B457">
        <v>93</v>
      </c>
      <c r="C457" s="7">
        <v>45192</v>
      </c>
      <c r="D457" t="s">
        <v>132</v>
      </c>
      <c r="E457" t="str">
        <f>IFERROR(VLOOKUP(VendasSem4[[#This Row],[Produto]],cálculos!$I$3:$L$50,4,0),"")</f>
        <v>Kg</v>
      </c>
      <c r="F457">
        <v>1</v>
      </c>
      <c r="G457" s="6">
        <f>IFERROR(VLOOKUP(VendasSem4[[#This Row],[Produto]],cálculos!$I$3:$L$50,3,0),0)</f>
        <v>2.9</v>
      </c>
      <c r="H457" s="6">
        <f>IFERROR(VendasSem4[[#This Row],[Quantidade]]*VendasSem4[[#This Row],[Preço Unitário]],0)</f>
        <v>2.9</v>
      </c>
      <c r="I457" s="11"/>
      <c r="J457" t="s">
        <v>112</v>
      </c>
      <c r="K457" s="6">
        <f>IFERROR(IF(VendasSem4[[#This Row],[Id da Venda]]=B458,0,VLOOKUP(VendasSem4[[#This Row],[Região de Entrega]],cálculos!$B$5:$C$9,2,0)),0)</f>
        <v>0</v>
      </c>
      <c r="L457" s="6">
        <f>(VendasSem4[[#This Row],[Subtotal]]*(1-VendasSem4[[#This Row],[Desconto]])+VendasSem4[[#This Row],[Valor de Entrega]])</f>
        <v>2.9</v>
      </c>
      <c r="M457" s="6" t="str">
        <f>IF(VendasSem4[[#This Row],[Id da Venda]]=B458,"",SUMIF(VendasSem4[Id da Venda],VendasSem4[[#This Row],[Id da Venda]],VendasSem4[Total]))</f>
        <v/>
      </c>
    </row>
    <row r="458" spans="2:13" x14ac:dyDescent="0.25">
      <c r="B458">
        <v>93</v>
      </c>
      <c r="C458" s="7">
        <v>45192</v>
      </c>
      <c r="D458" t="s">
        <v>130</v>
      </c>
      <c r="E458" t="str">
        <f>IFERROR(VLOOKUP(VendasSem4[[#This Row],[Produto]],cálculos!$I$3:$L$50,4,0),"")</f>
        <v>Kg</v>
      </c>
      <c r="F458">
        <v>2</v>
      </c>
      <c r="G458" s="6">
        <f>IFERROR(VLOOKUP(VendasSem4[[#This Row],[Produto]],cálculos!$I$3:$L$50,3,0),0)</f>
        <v>2.8</v>
      </c>
      <c r="H458" s="6">
        <f>IFERROR(VendasSem4[[#This Row],[Quantidade]]*VendasSem4[[#This Row],[Preço Unitário]],0)</f>
        <v>5.6</v>
      </c>
      <c r="I458" s="11"/>
      <c r="J458" t="s">
        <v>112</v>
      </c>
      <c r="K458" s="6">
        <f>IFERROR(IF(VendasSem4[[#This Row],[Id da Venda]]=B459,0,VLOOKUP(VendasSem4[[#This Row],[Região de Entrega]],cálculos!$B$5:$C$9,2,0)),0)</f>
        <v>0</v>
      </c>
      <c r="L458" s="6">
        <f>(VendasSem4[[#This Row],[Subtotal]]*(1-VendasSem4[[#This Row],[Desconto]])+VendasSem4[[#This Row],[Valor de Entrega]])</f>
        <v>5.6</v>
      </c>
      <c r="M458" s="6" t="str">
        <f>IF(VendasSem4[[#This Row],[Id da Venda]]=B459,"",SUMIF(VendasSem4[Id da Venda],VendasSem4[[#This Row],[Id da Venda]],VendasSem4[Total]))</f>
        <v/>
      </c>
    </row>
    <row r="459" spans="2:13" x14ac:dyDescent="0.25">
      <c r="B459">
        <v>93</v>
      </c>
      <c r="C459" s="7">
        <v>45192</v>
      </c>
      <c r="D459" t="s">
        <v>129</v>
      </c>
      <c r="E459" t="str">
        <f>IFERROR(VLOOKUP(VendasSem4[[#This Row],[Produto]],cálculos!$I$3:$L$50,4,0),"")</f>
        <v>Unidade</v>
      </c>
      <c r="F459">
        <v>1</v>
      </c>
      <c r="G459" s="6">
        <f>IFERROR(VLOOKUP(VendasSem4[[#This Row],[Produto]],cálculos!$I$3:$L$50,3,0),0)</f>
        <v>18.899999999999999</v>
      </c>
      <c r="H459" s="6">
        <f>IFERROR(VendasSem4[[#This Row],[Quantidade]]*VendasSem4[[#This Row],[Preço Unitário]],0)</f>
        <v>18.899999999999999</v>
      </c>
      <c r="I459" s="11"/>
      <c r="J459" t="s">
        <v>112</v>
      </c>
      <c r="K459" s="6">
        <f>IFERROR(IF(VendasSem4[[#This Row],[Id da Venda]]=B460,0,VLOOKUP(VendasSem4[[#This Row],[Região de Entrega]],cálculos!$B$5:$C$9,2,0)),0)</f>
        <v>0</v>
      </c>
      <c r="L459" s="6">
        <f>(VendasSem4[[#This Row],[Subtotal]]*(1-VendasSem4[[#This Row],[Desconto]])+VendasSem4[[#This Row],[Valor de Entrega]])</f>
        <v>18.899999999999999</v>
      </c>
      <c r="M459" s="6" t="str">
        <f>IF(VendasSem4[[#This Row],[Id da Venda]]=B460,"",SUMIF(VendasSem4[Id da Venda],VendasSem4[[#This Row],[Id da Venda]],VendasSem4[Total]))</f>
        <v/>
      </c>
    </row>
    <row r="460" spans="2:13" x14ac:dyDescent="0.25">
      <c r="B460">
        <v>93</v>
      </c>
      <c r="C460" s="7">
        <v>45192</v>
      </c>
      <c r="D460" t="s">
        <v>119</v>
      </c>
      <c r="E460" t="str">
        <f>IFERROR(VLOOKUP(VendasSem4[[#This Row],[Produto]],cálculos!$I$3:$L$50,4,0),"")</f>
        <v>Kg</v>
      </c>
      <c r="F460">
        <v>2</v>
      </c>
      <c r="G460" s="6">
        <f>IFERROR(VLOOKUP(VendasSem4[[#This Row],[Produto]],cálculos!$I$3:$L$50,3,0),0)</f>
        <v>6.8</v>
      </c>
      <c r="H460" s="6">
        <f>IFERROR(VendasSem4[[#This Row],[Quantidade]]*VendasSem4[[#This Row],[Preço Unitário]],0)</f>
        <v>13.6</v>
      </c>
      <c r="I460" s="11"/>
      <c r="J460" t="s">
        <v>112</v>
      </c>
      <c r="K460" s="6">
        <f>IFERROR(IF(VendasSem4[[#This Row],[Id da Venda]]=B461,0,VLOOKUP(VendasSem4[[#This Row],[Região de Entrega]],cálculos!$B$5:$C$9,2,0)),0)</f>
        <v>0</v>
      </c>
      <c r="L460" s="6">
        <f>(VendasSem4[[#This Row],[Subtotal]]*(1-VendasSem4[[#This Row],[Desconto]])+VendasSem4[[#This Row],[Valor de Entrega]])</f>
        <v>13.6</v>
      </c>
      <c r="M460" s="6" t="str">
        <f>IF(VendasSem4[[#This Row],[Id da Venda]]=B461,"",SUMIF(VendasSem4[Id da Venda],VendasSem4[[#This Row],[Id da Venda]],VendasSem4[Total]))</f>
        <v/>
      </c>
    </row>
    <row r="461" spans="2:13" x14ac:dyDescent="0.25">
      <c r="B461">
        <v>93</v>
      </c>
      <c r="C461" s="7">
        <v>45192</v>
      </c>
      <c r="D461" t="s">
        <v>39</v>
      </c>
      <c r="E461" t="str">
        <f>IFERROR(VLOOKUP(VendasSem4[[#This Row],[Produto]],cálculos!$I$3:$L$50,4,0),"")</f>
        <v>Kg</v>
      </c>
      <c r="F461">
        <v>1</v>
      </c>
      <c r="G461" s="6">
        <f>IFERROR(VLOOKUP(VendasSem4[[#This Row],[Produto]],cálculos!$I$3:$L$50,3,0),0)</f>
        <v>25.9</v>
      </c>
      <c r="H461" s="6">
        <f>IFERROR(VendasSem4[[#This Row],[Quantidade]]*VendasSem4[[#This Row],[Preço Unitário]],0)</f>
        <v>25.9</v>
      </c>
      <c r="I461" s="11"/>
      <c r="J461" t="s">
        <v>112</v>
      </c>
      <c r="K461" s="6">
        <f>IFERROR(IF(VendasSem4[[#This Row],[Id da Venda]]=B462,0,VLOOKUP(VendasSem4[[#This Row],[Região de Entrega]],cálculos!$B$5:$C$9,2,0)),0)</f>
        <v>0</v>
      </c>
      <c r="L461" s="6">
        <f>(VendasSem4[[#This Row],[Subtotal]]*(1-VendasSem4[[#This Row],[Desconto]])+VendasSem4[[#This Row],[Valor de Entrega]])</f>
        <v>25.9</v>
      </c>
      <c r="M461" s="6" t="str">
        <f>IF(VendasSem4[[#This Row],[Id da Venda]]=B462,"",SUMIF(VendasSem4[Id da Venda],VendasSem4[[#This Row],[Id da Venda]],VendasSem4[Total]))</f>
        <v/>
      </c>
    </row>
    <row r="462" spans="2:13" x14ac:dyDescent="0.25">
      <c r="B462">
        <v>93</v>
      </c>
      <c r="C462" s="7">
        <v>45192</v>
      </c>
      <c r="D462" t="s">
        <v>42</v>
      </c>
      <c r="E462" t="str">
        <f>IFERROR(VLOOKUP(VendasSem4[[#This Row],[Produto]],cálculos!$I$3:$L$50,4,0),"")</f>
        <v>Kg</v>
      </c>
      <c r="F462">
        <v>3</v>
      </c>
      <c r="G462" s="6">
        <f>IFERROR(VLOOKUP(VendasSem4[[#This Row],[Produto]],cálculos!$I$3:$L$50,3,0),0)</f>
        <v>3.99</v>
      </c>
      <c r="H462" s="6">
        <f>IFERROR(VendasSem4[[#This Row],[Quantidade]]*VendasSem4[[#This Row],[Preço Unitário]],0)</f>
        <v>11.97</v>
      </c>
      <c r="I462" s="11"/>
      <c r="J462" t="s">
        <v>112</v>
      </c>
      <c r="K462" s="6">
        <f>IFERROR(IF(VendasSem4[[#This Row],[Id da Venda]]=B463,0,VLOOKUP(VendasSem4[[#This Row],[Região de Entrega]],cálculos!$B$5:$C$9,2,0)),0)</f>
        <v>0</v>
      </c>
      <c r="L462" s="6">
        <f>(VendasSem4[[#This Row],[Subtotal]]*(1-VendasSem4[[#This Row],[Desconto]])+VendasSem4[[#This Row],[Valor de Entrega]])</f>
        <v>11.97</v>
      </c>
      <c r="M462" s="6" t="str">
        <f>IF(VendasSem4[[#This Row],[Id da Venda]]=B463,"",SUMIF(VendasSem4[Id da Venda],VendasSem4[[#This Row],[Id da Venda]],VendasSem4[Total]))</f>
        <v/>
      </c>
    </row>
    <row r="463" spans="2:13" x14ac:dyDescent="0.25">
      <c r="B463">
        <v>93</v>
      </c>
      <c r="C463" s="7">
        <v>45192</v>
      </c>
      <c r="D463" t="s">
        <v>122</v>
      </c>
      <c r="E463" t="str">
        <f>IFERROR(VLOOKUP(VendasSem4[[#This Row],[Produto]],cálculos!$I$3:$L$50,4,0),"")</f>
        <v>Kg</v>
      </c>
      <c r="F463">
        <v>1</v>
      </c>
      <c r="G463" s="6">
        <f>IFERROR(VLOOKUP(VendasSem4[[#This Row],[Produto]],cálculos!$I$3:$L$50,3,0),0)</f>
        <v>7</v>
      </c>
      <c r="H463" s="6">
        <f>IFERROR(VendasSem4[[#This Row],[Quantidade]]*VendasSem4[[#This Row],[Preço Unitário]],0)</f>
        <v>7</v>
      </c>
      <c r="I463" s="11"/>
      <c r="J463" t="s">
        <v>112</v>
      </c>
      <c r="K463" s="6">
        <f>IFERROR(IF(VendasSem4[[#This Row],[Id da Venda]]=B464,0,VLOOKUP(VendasSem4[[#This Row],[Região de Entrega]],cálculos!$B$5:$C$9,2,0)),0)</f>
        <v>0</v>
      </c>
      <c r="L463" s="6">
        <f>(VendasSem4[[#This Row],[Subtotal]]*(1-VendasSem4[[#This Row],[Desconto]])+VendasSem4[[#This Row],[Valor de Entrega]])</f>
        <v>7</v>
      </c>
      <c r="M463" s="6" t="str">
        <f>IF(VendasSem4[[#This Row],[Id da Venda]]=B464,"",SUMIF(VendasSem4[Id da Venda],VendasSem4[[#This Row],[Id da Venda]],VendasSem4[Total]))</f>
        <v/>
      </c>
    </row>
    <row r="464" spans="2:13" x14ac:dyDescent="0.25">
      <c r="B464">
        <v>93</v>
      </c>
      <c r="C464" s="7">
        <v>45192</v>
      </c>
      <c r="D464" t="s">
        <v>131</v>
      </c>
      <c r="E464" t="str">
        <f>IFERROR(VLOOKUP(VendasSem4[[#This Row],[Produto]],cálculos!$I$3:$L$50,4,0),"")</f>
        <v>Kg</v>
      </c>
      <c r="F464">
        <v>2</v>
      </c>
      <c r="G464" s="6">
        <f>IFERROR(VLOOKUP(VendasSem4[[#This Row],[Produto]],cálculos!$I$3:$L$50,3,0),0)</f>
        <v>3</v>
      </c>
      <c r="H464" s="6">
        <f>IFERROR(VendasSem4[[#This Row],[Quantidade]]*VendasSem4[[#This Row],[Preço Unitário]],0)</f>
        <v>6</v>
      </c>
      <c r="I464" s="11"/>
      <c r="J464" t="s">
        <v>112</v>
      </c>
      <c r="K464" s="6">
        <f>IFERROR(IF(VendasSem4[[#This Row],[Id da Venda]]=B465,0,VLOOKUP(VendasSem4[[#This Row],[Região de Entrega]],cálculos!$B$5:$C$9,2,0)),0)</f>
        <v>0</v>
      </c>
      <c r="L464" s="6">
        <f>(VendasSem4[[#This Row],[Subtotal]]*(1-VendasSem4[[#This Row],[Desconto]])+VendasSem4[[#This Row],[Valor de Entrega]])</f>
        <v>6</v>
      </c>
      <c r="M464" s="6" t="str">
        <f>IF(VendasSem4[[#This Row],[Id da Venda]]=B465,"",SUMIF(VendasSem4[Id da Venda],VendasSem4[[#This Row],[Id da Venda]],VendasSem4[Total]))</f>
        <v/>
      </c>
    </row>
    <row r="465" spans="2:13" x14ac:dyDescent="0.25">
      <c r="B465">
        <v>93</v>
      </c>
      <c r="C465" s="7">
        <v>45192</v>
      </c>
      <c r="D465" t="s">
        <v>56</v>
      </c>
      <c r="E465" t="str">
        <f>IFERROR(VLOOKUP(VendasSem4[[#This Row],[Produto]],cálculos!$I$3:$L$50,4,0),"")</f>
        <v>Pacote</v>
      </c>
      <c r="F465">
        <v>1</v>
      </c>
      <c r="G465" s="6">
        <f>IFERROR(VLOOKUP(VendasSem4[[#This Row],[Produto]],cálculos!$I$3:$L$50,3,0),0)</f>
        <v>1.99</v>
      </c>
      <c r="H465" s="6">
        <f>IFERROR(VendasSem4[[#This Row],[Quantidade]]*VendasSem4[[#This Row],[Preço Unitário]],0)</f>
        <v>1.99</v>
      </c>
      <c r="I465" s="11"/>
      <c r="J465" t="s">
        <v>112</v>
      </c>
      <c r="K465" s="6">
        <f>IFERROR(IF(VendasSem4[[#This Row],[Id da Venda]]=B466,0,VLOOKUP(VendasSem4[[#This Row],[Região de Entrega]],cálculos!$B$5:$C$9,2,0)),0)</f>
        <v>0</v>
      </c>
      <c r="L465" s="6">
        <f>(VendasSem4[[#This Row],[Subtotal]]*(1-VendasSem4[[#This Row],[Desconto]])+VendasSem4[[#This Row],[Valor de Entrega]])</f>
        <v>1.99</v>
      </c>
      <c r="M465" s="6" t="str">
        <f>IF(VendasSem4[[#This Row],[Id da Venda]]=B466,"",SUMIF(VendasSem4[Id da Venda],VendasSem4[[#This Row],[Id da Venda]],VendasSem4[Total]))</f>
        <v/>
      </c>
    </row>
    <row r="466" spans="2:13" x14ac:dyDescent="0.25">
      <c r="B466">
        <v>93</v>
      </c>
      <c r="C466" s="7">
        <v>45192</v>
      </c>
      <c r="D466" t="s">
        <v>133</v>
      </c>
      <c r="E466" t="str">
        <f>IFERROR(VLOOKUP(VendasSem4[[#This Row],[Produto]],cálculos!$I$3:$L$50,4,0),"")</f>
        <v>Kg</v>
      </c>
      <c r="F466">
        <v>1</v>
      </c>
      <c r="G466" s="6">
        <f>IFERROR(VLOOKUP(VendasSem4[[#This Row],[Produto]],cálculos!$I$3:$L$50,3,0),0)</f>
        <v>3</v>
      </c>
      <c r="H466" s="6">
        <f>IFERROR(VendasSem4[[#This Row],[Quantidade]]*VendasSem4[[#This Row],[Preço Unitário]],0)</f>
        <v>3</v>
      </c>
      <c r="I466" s="11"/>
      <c r="J466" t="s">
        <v>112</v>
      </c>
      <c r="K466" s="6">
        <f>IFERROR(IF(VendasSem4[[#This Row],[Id da Venda]]=B467,0,VLOOKUP(VendasSem4[[#This Row],[Região de Entrega]],cálculos!$B$5:$C$9,2,0)),0)</f>
        <v>0</v>
      </c>
      <c r="L466" s="6">
        <f>(VendasSem4[[#This Row],[Subtotal]]*(1-VendasSem4[[#This Row],[Desconto]])+VendasSem4[[#This Row],[Valor de Entrega]])</f>
        <v>3</v>
      </c>
      <c r="M466" s="6" t="str">
        <f>IF(VendasSem4[[#This Row],[Id da Venda]]=B467,"",SUMIF(VendasSem4[Id da Venda],VendasSem4[[#This Row],[Id da Venda]],VendasSem4[Total]))</f>
        <v/>
      </c>
    </row>
    <row r="467" spans="2:13" x14ac:dyDescent="0.25">
      <c r="B467">
        <v>93</v>
      </c>
      <c r="C467" s="7">
        <v>45192</v>
      </c>
      <c r="D467" t="s">
        <v>136</v>
      </c>
      <c r="E467" t="str">
        <f>IFERROR(VLOOKUP(VendasSem4[[#This Row],[Produto]],cálculos!$I$3:$L$50,4,0),"")</f>
        <v>Unidade</v>
      </c>
      <c r="F467">
        <v>1</v>
      </c>
      <c r="G467" s="6">
        <f>IFERROR(VLOOKUP(VendasSem4[[#This Row],[Produto]],cálculos!$I$3:$L$50,3,0),0)</f>
        <v>10</v>
      </c>
      <c r="H467" s="6">
        <f>IFERROR(VendasSem4[[#This Row],[Quantidade]]*VendasSem4[[#This Row],[Preço Unitário]],0)</f>
        <v>10</v>
      </c>
      <c r="I467" s="11"/>
      <c r="J467" t="s">
        <v>112</v>
      </c>
      <c r="K467" s="6">
        <f>IFERROR(IF(VendasSem4[[#This Row],[Id da Venda]]=B468,0,VLOOKUP(VendasSem4[[#This Row],[Região de Entrega]],cálculos!$B$5:$C$9,2,0)),0)</f>
        <v>0</v>
      </c>
      <c r="L467" s="6">
        <f>(VendasSem4[[#This Row],[Subtotal]]*(1-VendasSem4[[#This Row],[Desconto]])+VendasSem4[[#This Row],[Valor de Entrega]])</f>
        <v>10</v>
      </c>
      <c r="M467" s="6" t="str">
        <f>IF(VendasSem4[[#This Row],[Id da Venda]]=B468,"",SUMIF(VendasSem4[Id da Venda],VendasSem4[[#This Row],[Id da Venda]],VendasSem4[Total]))</f>
        <v/>
      </c>
    </row>
    <row r="468" spans="2:13" x14ac:dyDescent="0.25">
      <c r="B468">
        <v>93</v>
      </c>
      <c r="C468" s="7">
        <v>45192</v>
      </c>
      <c r="D468" t="s">
        <v>123</v>
      </c>
      <c r="E468" t="str">
        <f>IFERROR(VLOOKUP(VendasSem4[[#This Row],[Produto]],cálculos!$I$3:$L$50,4,0),"")</f>
        <v>Kg</v>
      </c>
      <c r="F468">
        <v>3</v>
      </c>
      <c r="G468" s="6">
        <f>IFERROR(VLOOKUP(VendasSem4[[#This Row],[Produto]],cálculos!$I$3:$L$50,3,0),0)</f>
        <v>8</v>
      </c>
      <c r="H468" s="6">
        <f>IFERROR(VendasSem4[[#This Row],[Quantidade]]*VendasSem4[[#This Row],[Preço Unitário]],0)</f>
        <v>24</v>
      </c>
      <c r="I468" s="11"/>
      <c r="J468" t="s">
        <v>112</v>
      </c>
      <c r="K468" s="6">
        <f>IFERROR(IF(VendasSem4[[#This Row],[Id da Venda]]=B469,0,VLOOKUP(VendasSem4[[#This Row],[Região de Entrega]],cálculos!$B$5:$C$9,2,0)),0)</f>
        <v>0</v>
      </c>
      <c r="L468" s="6">
        <f>(VendasSem4[[#This Row],[Subtotal]]*(1-VendasSem4[[#This Row],[Desconto]])+VendasSem4[[#This Row],[Valor de Entrega]])</f>
        <v>24</v>
      </c>
      <c r="M468" s="6" t="str">
        <f>IF(VendasSem4[[#This Row],[Id da Venda]]=B469,"",SUMIF(VendasSem4[Id da Venda],VendasSem4[[#This Row],[Id da Venda]],VendasSem4[Total]))</f>
        <v/>
      </c>
    </row>
    <row r="469" spans="2:13" x14ac:dyDescent="0.25">
      <c r="B469">
        <v>93</v>
      </c>
      <c r="C469" s="7">
        <v>45192</v>
      </c>
      <c r="D469" t="s">
        <v>135</v>
      </c>
      <c r="E469" t="str">
        <f>IFERROR(VLOOKUP(VendasSem4[[#This Row],[Produto]],cálculos!$I$3:$L$50,4,0),"")</f>
        <v>Kg</v>
      </c>
      <c r="F469">
        <v>1</v>
      </c>
      <c r="G469" s="6">
        <f>IFERROR(VLOOKUP(VendasSem4[[#This Row],[Produto]],cálculos!$I$3:$L$50,3,0),0)</f>
        <v>5</v>
      </c>
      <c r="H469" s="6">
        <f>IFERROR(VendasSem4[[#This Row],[Quantidade]]*VendasSem4[[#This Row],[Preço Unitário]],0)</f>
        <v>5</v>
      </c>
      <c r="I469" s="11"/>
      <c r="J469" t="s">
        <v>112</v>
      </c>
      <c r="K469" s="6">
        <f>IFERROR(IF(VendasSem4[[#This Row],[Id da Venda]]=B470,0,VLOOKUP(VendasSem4[[#This Row],[Região de Entrega]],cálculos!$B$5:$C$9,2,0)),0)</f>
        <v>0</v>
      </c>
      <c r="L469" s="6">
        <f>(VendasSem4[[#This Row],[Subtotal]]*(1-VendasSem4[[#This Row],[Desconto]])+VendasSem4[[#This Row],[Valor de Entrega]])</f>
        <v>5</v>
      </c>
      <c r="M469" s="6" t="str">
        <f>IF(VendasSem4[[#This Row],[Id da Venda]]=B470,"",SUMIF(VendasSem4[Id da Venda],VendasSem4[[#This Row],[Id da Venda]],VendasSem4[Total]))</f>
        <v/>
      </c>
    </row>
    <row r="470" spans="2:13" x14ac:dyDescent="0.25">
      <c r="B470">
        <v>93</v>
      </c>
      <c r="C470" s="7">
        <v>45192</v>
      </c>
      <c r="D470" t="s">
        <v>41</v>
      </c>
      <c r="E470" t="str">
        <f>IFERROR(VLOOKUP(VendasSem4[[#This Row],[Produto]],cálculos!$I$3:$L$50,4,0),"")</f>
        <v>Litro</v>
      </c>
      <c r="F470">
        <v>5</v>
      </c>
      <c r="G470" s="6">
        <f>IFERROR(VLOOKUP(VendasSem4[[#This Row],[Produto]],cálculos!$I$3:$L$50,3,0),0)</f>
        <v>3.45</v>
      </c>
      <c r="H470" s="6">
        <f>IFERROR(VendasSem4[[#This Row],[Quantidade]]*VendasSem4[[#This Row],[Preço Unitário]],0)</f>
        <v>17.25</v>
      </c>
      <c r="I470" s="11"/>
      <c r="J470" t="s">
        <v>112</v>
      </c>
      <c r="K470" s="6">
        <f>IFERROR(IF(VendasSem4[[#This Row],[Id da Venda]]=B471,0,VLOOKUP(VendasSem4[[#This Row],[Região de Entrega]],cálculos!$B$5:$C$9,2,0)),0)</f>
        <v>0</v>
      </c>
      <c r="L470" s="6">
        <f>(VendasSem4[[#This Row],[Subtotal]]*(1-VendasSem4[[#This Row],[Desconto]])+VendasSem4[[#This Row],[Valor de Entrega]])</f>
        <v>17.25</v>
      </c>
      <c r="M470" s="6" t="str">
        <f>IF(VendasSem4[[#This Row],[Id da Venda]]=B471,"",SUMIF(VendasSem4[Id da Venda],VendasSem4[[#This Row],[Id da Venda]],VendasSem4[Total]))</f>
        <v/>
      </c>
    </row>
    <row r="471" spans="2:13" x14ac:dyDescent="0.25">
      <c r="B471">
        <v>93</v>
      </c>
      <c r="C471" s="7">
        <v>45192</v>
      </c>
      <c r="D471" t="s">
        <v>43</v>
      </c>
      <c r="E471" t="str">
        <f>IFERROR(VLOOKUP(VendasSem4[[#This Row],[Produto]],cálculos!$I$3:$L$50,4,0),"")</f>
        <v>Kg</v>
      </c>
      <c r="F471">
        <v>1</v>
      </c>
      <c r="G471" s="6">
        <f>IFERROR(VLOOKUP(VendasSem4[[#This Row],[Produto]],cálculos!$I$3:$L$50,3,0),0)</f>
        <v>9.58</v>
      </c>
      <c r="H471" s="6">
        <f>IFERROR(VendasSem4[[#This Row],[Quantidade]]*VendasSem4[[#This Row],[Preço Unitário]],0)</f>
        <v>9.58</v>
      </c>
      <c r="I471" s="11"/>
      <c r="J471" t="s">
        <v>112</v>
      </c>
      <c r="K471" s="6">
        <f>IFERROR(IF(VendasSem4[[#This Row],[Id da Venda]]=B472,0,VLOOKUP(VendasSem4[[#This Row],[Região de Entrega]],cálculos!$B$5:$C$9,2,0)),0)</f>
        <v>0</v>
      </c>
      <c r="L471" s="6">
        <f>(VendasSem4[[#This Row],[Subtotal]]*(1-VendasSem4[[#This Row],[Desconto]])+VendasSem4[[#This Row],[Valor de Entrega]])</f>
        <v>9.58</v>
      </c>
      <c r="M471" s="6" t="str">
        <f>IF(VendasSem4[[#This Row],[Id da Venda]]=B472,"",SUMIF(VendasSem4[Id da Venda],VendasSem4[[#This Row],[Id da Venda]],VendasSem4[Total]))</f>
        <v/>
      </c>
    </row>
    <row r="472" spans="2:13" x14ac:dyDescent="0.25">
      <c r="B472">
        <v>93</v>
      </c>
      <c r="C472" s="7">
        <v>45192</v>
      </c>
      <c r="D472" t="s">
        <v>40</v>
      </c>
      <c r="E472" t="str">
        <f>IFERROR(VLOOKUP(VendasSem4[[#This Row],[Produto]],cálculos!$I$3:$L$50,4,0),"")</f>
        <v>Garrafa</v>
      </c>
      <c r="F472">
        <v>5</v>
      </c>
      <c r="G472" s="6">
        <f>IFERROR(VLOOKUP(VendasSem4[[#This Row],[Produto]],cálculos!$I$3:$L$50,3,0),0)</f>
        <v>29.9</v>
      </c>
      <c r="H472" s="6">
        <f>IFERROR(VendasSem4[[#This Row],[Quantidade]]*VendasSem4[[#This Row],[Preço Unitário]],0)</f>
        <v>149.5</v>
      </c>
      <c r="I472" s="11"/>
      <c r="J472" t="s">
        <v>112</v>
      </c>
      <c r="K472" s="6">
        <f>IFERROR(IF(VendasSem4[[#This Row],[Id da Venda]]=B473,0,VLOOKUP(VendasSem4[[#This Row],[Região de Entrega]],cálculos!$B$5:$C$9,2,0)),0)</f>
        <v>0</v>
      </c>
      <c r="L472" s="6">
        <f>(VendasSem4[[#This Row],[Subtotal]]*(1-VendasSem4[[#This Row],[Desconto]])+VendasSem4[[#This Row],[Valor de Entrega]])</f>
        <v>149.5</v>
      </c>
      <c r="M472" s="6" t="str">
        <f>IF(VendasSem4[[#This Row],[Id da Venda]]=B473,"",SUMIF(VendasSem4[Id da Venda],VendasSem4[[#This Row],[Id da Venda]],VendasSem4[Total]))</f>
        <v/>
      </c>
    </row>
    <row r="473" spans="2:13" x14ac:dyDescent="0.25">
      <c r="B473">
        <v>93</v>
      </c>
      <c r="C473" s="7">
        <v>45192</v>
      </c>
      <c r="D473" t="s">
        <v>57</v>
      </c>
      <c r="E473" t="str">
        <f>IFERROR(VLOOKUP(VendasSem4[[#This Row],[Produto]],cálculos!$I$3:$L$50,4,0),"")</f>
        <v>Barra</v>
      </c>
      <c r="F473">
        <v>1</v>
      </c>
      <c r="G473" s="6">
        <f>IFERROR(VLOOKUP(VendasSem4[[#This Row],[Produto]],cálculos!$I$3:$L$50,3,0),0)</f>
        <v>4.99</v>
      </c>
      <c r="H473" s="6">
        <f>IFERROR(VendasSem4[[#This Row],[Quantidade]]*VendasSem4[[#This Row],[Preço Unitário]],0)</f>
        <v>4.99</v>
      </c>
      <c r="I473" s="11"/>
      <c r="J473" t="s">
        <v>112</v>
      </c>
      <c r="K473" s="6">
        <f>IFERROR(IF(VendasSem4[[#This Row],[Id da Venda]]=B474,0,VLOOKUP(VendasSem4[[#This Row],[Região de Entrega]],cálculos!$B$5:$C$9,2,0)),0)</f>
        <v>0</v>
      </c>
      <c r="L473" s="6">
        <f>(VendasSem4[[#This Row],[Subtotal]]*(1-VendasSem4[[#This Row],[Desconto]])+VendasSem4[[#This Row],[Valor de Entrega]])</f>
        <v>4.99</v>
      </c>
      <c r="M473" s="6" t="str">
        <f>IF(VendasSem4[[#This Row],[Id da Venda]]=B474,"",SUMIF(VendasSem4[Id da Venda],VendasSem4[[#This Row],[Id da Venda]],VendasSem4[Total]))</f>
        <v/>
      </c>
    </row>
    <row r="474" spans="2:13" x14ac:dyDescent="0.25">
      <c r="B474">
        <v>93</v>
      </c>
      <c r="C474" s="7">
        <v>45192</v>
      </c>
      <c r="D474" t="s">
        <v>48</v>
      </c>
      <c r="E474" t="str">
        <f>IFERROR(VLOOKUP(VendasSem4[[#This Row],[Produto]],cálculos!$I$3:$L$50,4,0),"")</f>
        <v>Pacote</v>
      </c>
      <c r="F474">
        <v>2</v>
      </c>
      <c r="G474" s="6">
        <f>IFERROR(VLOOKUP(VendasSem4[[#This Row],[Produto]],cálculos!$I$3:$L$50,3,0),0)</f>
        <v>0.79</v>
      </c>
      <c r="H474" s="6">
        <f>IFERROR(VendasSem4[[#This Row],[Quantidade]]*VendasSem4[[#This Row],[Preço Unitário]],0)</f>
        <v>1.58</v>
      </c>
      <c r="I474" s="11"/>
      <c r="J474" t="s">
        <v>112</v>
      </c>
      <c r="K474" s="6">
        <f>IFERROR(IF(VendasSem4[[#This Row],[Id da Venda]]=B475,0,VLOOKUP(VendasSem4[[#This Row],[Região de Entrega]],cálculos!$B$5:$C$9,2,0)),0)</f>
        <v>0</v>
      </c>
      <c r="L474" s="6">
        <f>(VendasSem4[[#This Row],[Subtotal]]*(1-VendasSem4[[#This Row],[Desconto]])+VendasSem4[[#This Row],[Valor de Entrega]])</f>
        <v>1.58</v>
      </c>
      <c r="M474" s="6" t="str">
        <f>IF(VendasSem4[[#This Row],[Id da Venda]]=B475,"",SUMIF(VendasSem4[Id da Venda],VendasSem4[[#This Row],[Id da Venda]],VendasSem4[Total]))</f>
        <v/>
      </c>
    </row>
    <row r="475" spans="2:13" x14ac:dyDescent="0.25">
      <c r="B475">
        <v>93</v>
      </c>
      <c r="C475" s="7">
        <v>45192</v>
      </c>
      <c r="D475" t="s">
        <v>46</v>
      </c>
      <c r="E475" t="str">
        <f>IFERROR(VLOOKUP(VendasSem4[[#This Row],[Produto]],cálculos!$I$3:$L$50,4,0),"")</f>
        <v>Garrafa</v>
      </c>
      <c r="F475">
        <v>1</v>
      </c>
      <c r="G475" s="6">
        <f>IFERROR(VLOOKUP(VendasSem4[[#This Row],[Produto]],cálculos!$I$3:$L$50,3,0),0)</f>
        <v>54.9</v>
      </c>
      <c r="H475" s="6">
        <f>IFERROR(VendasSem4[[#This Row],[Quantidade]]*VendasSem4[[#This Row],[Preço Unitário]],0)</f>
        <v>54.9</v>
      </c>
      <c r="I475" s="11"/>
      <c r="J475" t="s">
        <v>112</v>
      </c>
      <c r="K475" s="6">
        <f>IFERROR(IF(VendasSem4[[#This Row],[Id da Venda]]=B476,0,VLOOKUP(VendasSem4[[#This Row],[Região de Entrega]],cálculos!$B$5:$C$9,2,0)),0)</f>
        <v>0</v>
      </c>
      <c r="L475" s="6">
        <f>(VendasSem4[[#This Row],[Subtotal]]*(1-VendasSem4[[#This Row],[Desconto]])+VendasSem4[[#This Row],[Valor de Entrega]])</f>
        <v>54.9</v>
      </c>
      <c r="M475" s="6" t="str">
        <f>IF(VendasSem4[[#This Row],[Id da Venda]]=B476,"",SUMIF(VendasSem4[Id da Venda],VendasSem4[[#This Row],[Id da Venda]],VendasSem4[Total]))</f>
        <v/>
      </c>
    </row>
    <row r="476" spans="2:13" x14ac:dyDescent="0.25">
      <c r="B476">
        <v>93</v>
      </c>
      <c r="C476" s="7">
        <v>45192</v>
      </c>
      <c r="D476" t="s">
        <v>126</v>
      </c>
      <c r="E476" t="str">
        <f>IFERROR(VLOOKUP(VendasSem4[[#This Row],[Produto]],cálculos!$I$3:$L$50,4,0),"")</f>
        <v>Unidade</v>
      </c>
      <c r="F476">
        <v>1</v>
      </c>
      <c r="G476" s="6">
        <f>IFERROR(VLOOKUP(VendasSem4[[#This Row],[Produto]],cálculos!$I$3:$L$50,3,0),0)</f>
        <v>7</v>
      </c>
      <c r="H476" s="6">
        <f>IFERROR(VendasSem4[[#This Row],[Quantidade]]*VendasSem4[[#This Row],[Preço Unitário]],0)</f>
        <v>7</v>
      </c>
      <c r="I476" s="11"/>
      <c r="J476" t="s">
        <v>112</v>
      </c>
      <c r="K476" s="6">
        <f>IFERROR(IF(VendasSem4[[#This Row],[Id da Venda]]=B477,0,VLOOKUP(VendasSem4[[#This Row],[Região de Entrega]],cálculos!$B$5:$C$9,2,0)),0)</f>
        <v>0</v>
      </c>
      <c r="L476" s="6">
        <f>(VendasSem4[[#This Row],[Subtotal]]*(1-VendasSem4[[#This Row],[Desconto]])+VendasSem4[[#This Row],[Valor de Entrega]])</f>
        <v>7</v>
      </c>
      <c r="M476" s="6" t="str">
        <f>IF(VendasSem4[[#This Row],[Id da Venda]]=B477,"",SUMIF(VendasSem4[Id da Venda],VendasSem4[[#This Row],[Id da Venda]],VendasSem4[Total]))</f>
        <v/>
      </c>
    </row>
    <row r="477" spans="2:13" x14ac:dyDescent="0.25">
      <c r="B477">
        <v>93</v>
      </c>
      <c r="C477" s="7">
        <v>45192</v>
      </c>
      <c r="D477" t="s">
        <v>125</v>
      </c>
      <c r="E477" t="str">
        <f>IFERROR(VLOOKUP(VendasSem4[[#This Row],[Produto]],cálculos!$I$3:$L$50,4,0),"")</f>
        <v>Unidade</v>
      </c>
      <c r="F477">
        <v>1</v>
      </c>
      <c r="G477" s="6">
        <f>IFERROR(VLOOKUP(VendasSem4[[#This Row],[Produto]],cálculos!$I$3:$L$50,3,0),0)</f>
        <v>4.5</v>
      </c>
      <c r="H477" s="6">
        <f>IFERROR(VendasSem4[[#This Row],[Quantidade]]*VendasSem4[[#This Row],[Preço Unitário]],0)</f>
        <v>4.5</v>
      </c>
      <c r="I477" s="11"/>
      <c r="J477" t="s">
        <v>112</v>
      </c>
      <c r="K477" s="6">
        <f>IFERROR(IF(VendasSem4[[#This Row],[Id da Venda]]=B478,0,VLOOKUP(VendasSem4[[#This Row],[Região de Entrega]],cálculos!$B$5:$C$9,2,0)),0)</f>
        <v>7</v>
      </c>
      <c r="L477" s="6">
        <f>(VendasSem4[[#This Row],[Subtotal]]*(1-VendasSem4[[#This Row],[Desconto]])+VendasSem4[[#This Row],[Valor de Entrega]])</f>
        <v>11.5</v>
      </c>
      <c r="M477" s="6">
        <f>IF(VendasSem4[[#This Row],[Id da Venda]]=B478,"",SUMIF(VendasSem4[Id da Venda],VendasSem4[[#This Row],[Id da Venda]],VendasSem4[Total]))</f>
        <v>715.30000000000007</v>
      </c>
    </row>
    <row r="478" spans="2:13" x14ac:dyDescent="0.25">
      <c r="B478">
        <v>94</v>
      </c>
      <c r="C478" s="7">
        <v>45192</v>
      </c>
      <c r="D478" t="s">
        <v>128</v>
      </c>
      <c r="E478" t="str">
        <f>IFERROR(VLOOKUP(VendasSem4[[#This Row],[Produto]],cálculos!$I$3:$L$50,4,0),"")</f>
        <v>Kg</v>
      </c>
      <c r="F478">
        <v>2</v>
      </c>
      <c r="G478" s="6">
        <f>IFERROR(VLOOKUP(VendasSem4[[#This Row],[Produto]],cálculos!$I$3:$L$50,3,0),0)</f>
        <v>10</v>
      </c>
      <c r="H478" s="6">
        <f>IFERROR(VendasSem4[[#This Row],[Quantidade]]*VendasSem4[[#This Row],[Preço Unitário]],0)</f>
        <v>20</v>
      </c>
      <c r="I478" s="11"/>
      <c r="J478" t="s">
        <v>109</v>
      </c>
      <c r="K478" s="6">
        <f>IFERROR(IF(VendasSem4[[#This Row],[Id da Venda]]=B479,0,VLOOKUP(VendasSem4[[#This Row],[Região de Entrega]],cálculos!$B$5:$C$9,2,0)),0)</f>
        <v>0</v>
      </c>
      <c r="L478" s="6">
        <f>(VendasSem4[[#This Row],[Subtotal]]*(1-VendasSem4[[#This Row],[Desconto]])+VendasSem4[[#This Row],[Valor de Entrega]])</f>
        <v>20</v>
      </c>
      <c r="M478" s="6" t="str">
        <f>IF(VendasSem4[[#This Row],[Id da Venda]]=B479,"",SUMIF(VendasSem4[Id da Venda],VendasSem4[[#This Row],[Id da Venda]],VendasSem4[Total]))</f>
        <v/>
      </c>
    </row>
    <row r="479" spans="2:13" x14ac:dyDescent="0.25">
      <c r="B479">
        <v>94</v>
      </c>
      <c r="C479" s="7">
        <v>45192</v>
      </c>
      <c r="D479" t="s">
        <v>58</v>
      </c>
      <c r="E479" t="str">
        <f>IFERROR(VLOOKUP(VendasSem4[[#This Row],[Produto]],cálculos!$I$3:$L$50,4,0),"")</f>
        <v>Maço</v>
      </c>
      <c r="F479">
        <v>1</v>
      </c>
      <c r="G479" s="6">
        <f>IFERROR(VLOOKUP(VendasSem4[[#This Row],[Produto]],cálculos!$I$3:$L$50,3,0),0)</f>
        <v>6.75</v>
      </c>
      <c r="H479" s="6">
        <f>IFERROR(VendasSem4[[#This Row],[Quantidade]]*VendasSem4[[#This Row],[Preço Unitário]],0)</f>
        <v>6.75</v>
      </c>
      <c r="I479" s="11"/>
      <c r="J479" t="s">
        <v>109</v>
      </c>
      <c r="K479" s="6">
        <f>IFERROR(IF(VendasSem4[[#This Row],[Id da Venda]]=B480,0,VLOOKUP(VendasSem4[[#This Row],[Região de Entrega]],cálculos!$B$5:$C$9,2,0)),0)</f>
        <v>0</v>
      </c>
      <c r="L479" s="6">
        <f>(VendasSem4[[#This Row],[Subtotal]]*(1-VendasSem4[[#This Row],[Desconto]])+VendasSem4[[#This Row],[Valor de Entrega]])</f>
        <v>6.75</v>
      </c>
      <c r="M479" s="6">
        <f>IF(VendasSem4[[#This Row],[Id da Venda]]=B480,"",SUMIF(VendasSem4[Id da Venda],VendasSem4[[#This Row],[Id da Venda]],VendasSem4[Total]))</f>
        <v>26.75</v>
      </c>
    </row>
    <row r="480" spans="2:13" x14ac:dyDescent="0.25">
      <c r="B480">
        <v>95</v>
      </c>
      <c r="C480" s="7">
        <v>45192</v>
      </c>
      <c r="D480" t="s">
        <v>121</v>
      </c>
      <c r="E480" t="str">
        <f>IFERROR(VLOOKUP(VendasSem4[[#This Row],[Produto]],cálculos!$I$3:$L$50,4,0),"")</f>
        <v>Kg</v>
      </c>
      <c r="F480">
        <v>1</v>
      </c>
      <c r="G480" s="6">
        <f>IFERROR(VLOOKUP(VendasSem4[[#This Row],[Produto]],cálculos!$I$3:$L$50,3,0),0)</f>
        <v>12</v>
      </c>
      <c r="H480" s="6">
        <f>IFERROR(VendasSem4[[#This Row],[Quantidade]]*VendasSem4[[#This Row],[Preço Unitário]],0)</f>
        <v>12</v>
      </c>
      <c r="I480" s="11"/>
      <c r="J480" t="s">
        <v>112</v>
      </c>
      <c r="K480" s="6">
        <f>IFERROR(IF(VendasSem4[[#This Row],[Id da Venda]]=B481,0,VLOOKUP(VendasSem4[[#This Row],[Região de Entrega]],cálculos!$B$5:$C$9,2,0)),0)</f>
        <v>0</v>
      </c>
      <c r="L480" s="6">
        <f>(VendasSem4[[#This Row],[Subtotal]]*(1-VendasSem4[[#This Row],[Desconto]])+VendasSem4[[#This Row],[Valor de Entrega]])</f>
        <v>12</v>
      </c>
      <c r="M480" s="6" t="str">
        <f>IF(VendasSem4[[#This Row],[Id da Venda]]=B481,"",SUMIF(VendasSem4[Id da Venda],VendasSem4[[#This Row],[Id da Venda]],VendasSem4[Total]))</f>
        <v/>
      </c>
    </row>
    <row r="481" spans="2:13" x14ac:dyDescent="0.25">
      <c r="B481">
        <v>95</v>
      </c>
      <c r="C481" s="7">
        <v>45192</v>
      </c>
      <c r="D481" t="s">
        <v>66</v>
      </c>
      <c r="E481" t="str">
        <f>IFERROR(VLOOKUP(VendasSem4[[#This Row],[Produto]],cálculos!$I$3:$L$50,4,0),"")</f>
        <v>Litro</v>
      </c>
      <c r="F481">
        <v>5</v>
      </c>
      <c r="G481" s="6">
        <f>IFERROR(VLOOKUP(VendasSem4[[#This Row],[Produto]],cálculos!$I$3:$L$50,3,0),0)</f>
        <v>1.49</v>
      </c>
      <c r="H481" s="6">
        <f>IFERROR(VendasSem4[[#This Row],[Quantidade]]*VendasSem4[[#This Row],[Preço Unitário]],0)</f>
        <v>7.45</v>
      </c>
      <c r="I481" s="11"/>
      <c r="J481" t="s">
        <v>112</v>
      </c>
      <c r="K481" s="6">
        <f>IFERROR(IF(VendasSem4[[#This Row],[Id da Venda]]=B482,0,VLOOKUP(VendasSem4[[#This Row],[Região de Entrega]],cálculos!$B$5:$C$9,2,0)),0)</f>
        <v>0</v>
      </c>
      <c r="L481" s="6">
        <f>(VendasSem4[[#This Row],[Subtotal]]*(1-VendasSem4[[#This Row],[Desconto]])+VendasSem4[[#This Row],[Valor de Entrega]])</f>
        <v>7.45</v>
      </c>
      <c r="M481" s="6" t="str">
        <f>IF(VendasSem4[[#This Row],[Id da Venda]]=B482,"",SUMIF(VendasSem4[Id da Venda],VendasSem4[[#This Row],[Id da Venda]],VendasSem4[Total]))</f>
        <v/>
      </c>
    </row>
    <row r="482" spans="2:13" x14ac:dyDescent="0.25">
      <c r="B482">
        <v>95</v>
      </c>
      <c r="C482" s="7">
        <v>45192</v>
      </c>
      <c r="D482" t="s">
        <v>59</v>
      </c>
      <c r="E482" t="str">
        <f>IFERROR(VLOOKUP(VendasSem4[[#This Row],[Produto]],cálculos!$I$3:$L$50,4,0),"")</f>
        <v>Pacote</v>
      </c>
      <c r="F482">
        <v>1</v>
      </c>
      <c r="G482" s="6">
        <f>IFERROR(VLOOKUP(VendasSem4[[#This Row],[Produto]],cálculos!$I$3:$L$50,3,0),0)</f>
        <v>1.1499999999999999</v>
      </c>
      <c r="H482" s="6">
        <f>IFERROR(VendasSem4[[#This Row],[Quantidade]]*VendasSem4[[#This Row],[Preço Unitário]],0)</f>
        <v>1.1499999999999999</v>
      </c>
      <c r="I482" s="11"/>
      <c r="J482" t="s">
        <v>112</v>
      </c>
      <c r="K482" s="6">
        <f>IFERROR(IF(VendasSem4[[#This Row],[Id da Venda]]=B483,0,VLOOKUP(VendasSem4[[#This Row],[Região de Entrega]],cálculos!$B$5:$C$9,2,0)),0)</f>
        <v>0</v>
      </c>
      <c r="L482" s="6">
        <f>(VendasSem4[[#This Row],[Subtotal]]*(1-VendasSem4[[#This Row],[Desconto]])+VendasSem4[[#This Row],[Valor de Entrega]])</f>
        <v>1.1499999999999999</v>
      </c>
      <c r="M482" s="6" t="str">
        <f>IF(VendasSem4[[#This Row],[Id da Venda]]=B483,"",SUMIF(VendasSem4[Id da Venda],VendasSem4[[#This Row],[Id da Venda]],VendasSem4[Total]))</f>
        <v/>
      </c>
    </row>
    <row r="483" spans="2:13" x14ac:dyDescent="0.25">
      <c r="B483">
        <v>95</v>
      </c>
      <c r="C483" s="7">
        <v>45192</v>
      </c>
      <c r="D483" t="s">
        <v>39</v>
      </c>
      <c r="E483" t="str">
        <f>IFERROR(VLOOKUP(VendasSem4[[#This Row],[Produto]],cálculos!$I$3:$L$50,4,0),"")</f>
        <v>Kg</v>
      </c>
      <c r="F483">
        <v>1</v>
      </c>
      <c r="G483" s="6">
        <f>IFERROR(VLOOKUP(VendasSem4[[#This Row],[Produto]],cálculos!$I$3:$L$50,3,0),0)</f>
        <v>25.9</v>
      </c>
      <c r="H483" s="6">
        <f>IFERROR(VendasSem4[[#This Row],[Quantidade]]*VendasSem4[[#This Row],[Preço Unitário]],0)</f>
        <v>25.9</v>
      </c>
      <c r="I483" s="11"/>
      <c r="J483" t="s">
        <v>112</v>
      </c>
      <c r="K483" s="6">
        <f>IFERROR(IF(VendasSem4[[#This Row],[Id da Venda]]=B484,0,VLOOKUP(VendasSem4[[#This Row],[Região de Entrega]],cálculos!$B$5:$C$9,2,0)),0)</f>
        <v>0</v>
      </c>
      <c r="L483" s="6">
        <f>(VendasSem4[[#This Row],[Subtotal]]*(1-VendasSem4[[#This Row],[Desconto]])+VendasSem4[[#This Row],[Valor de Entrega]])</f>
        <v>25.9</v>
      </c>
      <c r="M483" s="6" t="str">
        <f>IF(VendasSem4[[#This Row],[Id da Venda]]=B484,"",SUMIF(VendasSem4[Id da Venda],VendasSem4[[#This Row],[Id da Venda]],VendasSem4[Total]))</f>
        <v/>
      </c>
    </row>
    <row r="484" spans="2:13" x14ac:dyDescent="0.25">
      <c r="B484">
        <v>95</v>
      </c>
      <c r="C484" s="7">
        <v>45192</v>
      </c>
      <c r="D484" t="s">
        <v>36</v>
      </c>
      <c r="E484" t="str">
        <f>IFERROR(VLOOKUP(VendasSem4[[#This Row],[Produto]],cálculos!$I$3:$L$50,4,0),"")</f>
        <v>Kg</v>
      </c>
      <c r="F484">
        <v>5</v>
      </c>
      <c r="G484" s="6">
        <f>IFERROR(VLOOKUP(VendasSem4[[#This Row],[Produto]],cálculos!$I$3:$L$50,3,0),0)</f>
        <v>15.9</v>
      </c>
      <c r="H484" s="6">
        <f>IFERROR(VendasSem4[[#This Row],[Quantidade]]*VendasSem4[[#This Row],[Preço Unitário]],0)</f>
        <v>79.5</v>
      </c>
      <c r="I484" s="11"/>
      <c r="J484" t="s">
        <v>112</v>
      </c>
      <c r="K484" s="6">
        <f>IFERROR(IF(VendasSem4[[#This Row],[Id da Venda]]=B485,0,VLOOKUP(VendasSem4[[#This Row],[Região de Entrega]],cálculos!$B$5:$C$9,2,0)),0)</f>
        <v>0</v>
      </c>
      <c r="L484" s="6">
        <f>(VendasSem4[[#This Row],[Subtotal]]*(1-VendasSem4[[#This Row],[Desconto]])+VendasSem4[[#This Row],[Valor de Entrega]])</f>
        <v>79.5</v>
      </c>
      <c r="M484" s="6" t="str">
        <f>IF(VendasSem4[[#This Row],[Id da Venda]]=B485,"",SUMIF(VendasSem4[Id da Venda],VendasSem4[[#This Row],[Id da Venda]],VendasSem4[Total]))</f>
        <v/>
      </c>
    </row>
    <row r="485" spans="2:13" x14ac:dyDescent="0.25">
      <c r="B485">
        <v>95</v>
      </c>
      <c r="C485" s="7">
        <v>45192</v>
      </c>
      <c r="D485" t="s">
        <v>35</v>
      </c>
      <c r="E485" t="str">
        <f>IFERROR(VLOOKUP(VendasSem4[[#This Row],[Produto]],cálculos!$I$3:$L$50,4,0),"")</f>
        <v>Unidade</v>
      </c>
      <c r="F485">
        <v>2</v>
      </c>
      <c r="G485" s="6">
        <f>IFERROR(VLOOKUP(VendasSem4[[#This Row],[Produto]],cálculos!$I$3:$L$50,3,0),0)</f>
        <v>2.99</v>
      </c>
      <c r="H485" s="6">
        <f>IFERROR(VendasSem4[[#This Row],[Quantidade]]*VendasSem4[[#This Row],[Preço Unitário]],0)</f>
        <v>5.98</v>
      </c>
      <c r="I485" s="11"/>
      <c r="J485" t="s">
        <v>112</v>
      </c>
      <c r="K485" s="6">
        <f>IFERROR(IF(VendasSem4[[#This Row],[Id da Venda]]=B486,0,VLOOKUP(VendasSem4[[#This Row],[Região de Entrega]],cálculos!$B$5:$C$9,2,0)),0)</f>
        <v>0</v>
      </c>
      <c r="L485" s="6">
        <f>(VendasSem4[[#This Row],[Subtotal]]*(1-VendasSem4[[#This Row],[Desconto]])+VendasSem4[[#This Row],[Valor de Entrega]])</f>
        <v>5.98</v>
      </c>
      <c r="M485" s="6" t="str">
        <f>IF(VendasSem4[[#This Row],[Id da Venda]]=B486,"",SUMIF(VendasSem4[Id da Venda],VendasSem4[[#This Row],[Id da Venda]],VendasSem4[Total]))</f>
        <v/>
      </c>
    </row>
    <row r="486" spans="2:13" x14ac:dyDescent="0.25">
      <c r="B486">
        <v>95</v>
      </c>
      <c r="C486" s="7">
        <v>45192</v>
      </c>
      <c r="D486" t="s">
        <v>42</v>
      </c>
      <c r="E486" t="str">
        <f>IFERROR(VLOOKUP(VendasSem4[[#This Row],[Produto]],cálculos!$I$3:$L$50,4,0),"")</f>
        <v>Kg</v>
      </c>
      <c r="F486">
        <v>1</v>
      </c>
      <c r="G486" s="6">
        <f>IFERROR(VLOOKUP(VendasSem4[[#This Row],[Produto]],cálculos!$I$3:$L$50,3,0),0)</f>
        <v>3.99</v>
      </c>
      <c r="H486" s="6">
        <f>IFERROR(VendasSem4[[#This Row],[Quantidade]]*VendasSem4[[#This Row],[Preço Unitário]],0)</f>
        <v>3.99</v>
      </c>
      <c r="I486" s="11"/>
      <c r="J486" t="s">
        <v>112</v>
      </c>
      <c r="K486" s="6">
        <f>IFERROR(IF(VendasSem4[[#This Row],[Id da Venda]]=B487,0,VLOOKUP(VendasSem4[[#This Row],[Região de Entrega]],cálculos!$B$5:$C$9,2,0)),0)</f>
        <v>0</v>
      </c>
      <c r="L486" s="6">
        <f>(VendasSem4[[#This Row],[Subtotal]]*(1-VendasSem4[[#This Row],[Desconto]])+VendasSem4[[#This Row],[Valor de Entrega]])</f>
        <v>3.99</v>
      </c>
      <c r="M486" s="6" t="str">
        <f>IF(VendasSem4[[#This Row],[Id da Venda]]=B487,"",SUMIF(VendasSem4[Id da Venda],VendasSem4[[#This Row],[Id da Venda]],VendasSem4[Total]))</f>
        <v/>
      </c>
    </row>
    <row r="487" spans="2:13" x14ac:dyDescent="0.25">
      <c r="B487">
        <v>95</v>
      </c>
      <c r="C487" s="7">
        <v>45192</v>
      </c>
      <c r="D487" t="s">
        <v>34</v>
      </c>
      <c r="E487" t="str">
        <f>IFERROR(VLOOKUP(VendasSem4[[#This Row],[Produto]],cálculos!$I$3:$L$50,4,0),"")</f>
        <v>Kg</v>
      </c>
      <c r="F487">
        <v>3</v>
      </c>
      <c r="G487" s="6">
        <f>IFERROR(VLOOKUP(VendasSem4[[#This Row],[Produto]],cálculos!$I$3:$L$50,3,0),0)</f>
        <v>5.82</v>
      </c>
      <c r="H487" s="6">
        <f>IFERROR(VendasSem4[[#This Row],[Quantidade]]*VendasSem4[[#This Row],[Preço Unitário]],0)</f>
        <v>17.46</v>
      </c>
      <c r="I487" s="11"/>
      <c r="J487" t="s">
        <v>112</v>
      </c>
      <c r="K487" s="6">
        <f>IFERROR(IF(VendasSem4[[#This Row],[Id da Venda]]=B488,0,VLOOKUP(VendasSem4[[#This Row],[Região de Entrega]],cálculos!$B$5:$C$9,2,0)),0)</f>
        <v>0</v>
      </c>
      <c r="L487" s="6">
        <f>(VendasSem4[[#This Row],[Subtotal]]*(1-VendasSem4[[#This Row],[Desconto]])+VendasSem4[[#This Row],[Valor de Entrega]])</f>
        <v>17.46</v>
      </c>
      <c r="M487" s="6" t="str">
        <f>IF(VendasSem4[[#This Row],[Id da Venda]]=B488,"",SUMIF(VendasSem4[Id da Venda],VendasSem4[[#This Row],[Id da Venda]],VendasSem4[Total]))</f>
        <v/>
      </c>
    </row>
    <row r="488" spans="2:13" x14ac:dyDescent="0.25">
      <c r="B488">
        <v>95</v>
      </c>
      <c r="C488" s="7">
        <v>45192</v>
      </c>
      <c r="D488" t="s">
        <v>129</v>
      </c>
      <c r="E488" t="str">
        <f>IFERROR(VLOOKUP(VendasSem4[[#This Row],[Produto]],cálculos!$I$3:$L$50,4,0),"")</f>
        <v>Unidade</v>
      </c>
      <c r="F488">
        <v>1</v>
      </c>
      <c r="G488" s="6">
        <f>IFERROR(VLOOKUP(VendasSem4[[#This Row],[Produto]],cálculos!$I$3:$L$50,3,0),0)</f>
        <v>18.899999999999999</v>
      </c>
      <c r="H488" s="6">
        <f>IFERROR(VendasSem4[[#This Row],[Quantidade]]*VendasSem4[[#This Row],[Preço Unitário]],0)</f>
        <v>18.899999999999999</v>
      </c>
      <c r="I488" s="11"/>
      <c r="J488" t="s">
        <v>112</v>
      </c>
      <c r="K488" s="6">
        <f>IFERROR(IF(VendasSem4[[#This Row],[Id da Venda]]=B489,0,VLOOKUP(VendasSem4[[#This Row],[Região de Entrega]],cálculos!$B$5:$C$9,2,0)),0)</f>
        <v>0</v>
      </c>
      <c r="L488" s="6">
        <f>(VendasSem4[[#This Row],[Subtotal]]*(1-VendasSem4[[#This Row],[Desconto]])+VendasSem4[[#This Row],[Valor de Entrega]])</f>
        <v>18.899999999999999</v>
      </c>
      <c r="M488" s="6" t="str">
        <f>IF(VendasSem4[[#This Row],[Id da Venda]]=B489,"",SUMIF(VendasSem4[Id da Venda],VendasSem4[[#This Row],[Id da Venda]],VendasSem4[Total]))</f>
        <v/>
      </c>
    </row>
    <row r="489" spans="2:13" x14ac:dyDescent="0.25">
      <c r="B489">
        <v>95</v>
      </c>
      <c r="C489" s="7">
        <v>45192</v>
      </c>
      <c r="D489" t="s">
        <v>127</v>
      </c>
      <c r="E489" t="str">
        <f>IFERROR(VLOOKUP(VendasSem4[[#This Row],[Produto]],cálculos!$I$3:$L$50,4,0),"")</f>
        <v>Kg</v>
      </c>
      <c r="F489">
        <v>1</v>
      </c>
      <c r="G489" s="6">
        <f>IFERROR(VLOOKUP(VendasSem4[[#This Row],[Produto]],cálculos!$I$3:$L$50,3,0),0)</f>
        <v>6.9</v>
      </c>
      <c r="H489" s="6">
        <f>IFERROR(VendasSem4[[#This Row],[Quantidade]]*VendasSem4[[#This Row],[Preço Unitário]],0)</f>
        <v>6.9</v>
      </c>
      <c r="I489" s="11"/>
      <c r="J489" t="s">
        <v>112</v>
      </c>
      <c r="K489" s="6">
        <f>IFERROR(IF(VendasSem4[[#This Row],[Id da Venda]]=B490,0,VLOOKUP(VendasSem4[[#This Row],[Região de Entrega]],cálculos!$B$5:$C$9,2,0)),0)</f>
        <v>0</v>
      </c>
      <c r="L489" s="6">
        <f>(VendasSem4[[#This Row],[Subtotal]]*(1-VendasSem4[[#This Row],[Desconto]])+VendasSem4[[#This Row],[Valor de Entrega]])</f>
        <v>6.9</v>
      </c>
      <c r="M489" s="6" t="str">
        <f>IF(VendasSem4[[#This Row],[Id da Venda]]=B490,"",SUMIF(VendasSem4[Id da Venda],VendasSem4[[#This Row],[Id da Venda]],VendasSem4[Total]))</f>
        <v/>
      </c>
    </row>
    <row r="490" spans="2:13" x14ac:dyDescent="0.25">
      <c r="B490">
        <v>95</v>
      </c>
      <c r="C490" s="7">
        <v>45192</v>
      </c>
      <c r="D490" t="s">
        <v>37</v>
      </c>
      <c r="E490" t="str">
        <f>IFERROR(VLOOKUP(VendasSem4[[#This Row],[Produto]],cálculos!$I$3:$L$50,4,0),"")</f>
        <v>Kg</v>
      </c>
      <c r="F490">
        <v>3</v>
      </c>
      <c r="G490" s="6">
        <f>IFERROR(VLOOKUP(VendasSem4[[#This Row],[Produto]],cálculos!$I$3:$L$50,3,0),0)</f>
        <v>6.98</v>
      </c>
      <c r="H490" s="6">
        <f>IFERROR(VendasSem4[[#This Row],[Quantidade]]*VendasSem4[[#This Row],[Preço Unitário]],0)</f>
        <v>20.94</v>
      </c>
      <c r="I490" s="11"/>
      <c r="J490" t="s">
        <v>112</v>
      </c>
      <c r="K490" s="6">
        <f>IFERROR(IF(VendasSem4[[#This Row],[Id da Venda]]=B491,0,VLOOKUP(VendasSem4[[#This Row],[Região de Entrega]],cálculos!$B$5:$C$9,2,0)),0)</f>
        <v>0</v>
      </c>
      <c r="L490" s="6">
        <f>(VendasSem4[[#This Row],[Subtotal]]*(1-VendasSem4[[#This Row],[Desconto]])+VendasSem4[[#This Row],[Valor de Entrega]])</f>
        <v>20.94</v>
      </c>
      <c r="M490" s="6" t="str">
        <f>IF(VendasSem4[[#This Row],[Id da Venda]]=B491,"",SUMIF(VendasSem4[Id da Venda],VendasSem4[[#This Row],[Id da Venda]],VendasSem4[Total]))</f>
        <v/>
      </c>
    </row>
    <row r="491" spans="2:13" x14ac:dyDescent="0.25">
      <c r="B491">
        <v>95</v>
      </c>
      <c r="C491" s="7">
        <v>45192</v>
      </c>
      <c r="D491" t="s">
        <v>135</v>
      </c>
      <c r="E491" t="str">
        <f>IFERROR(VLOOKUP(VendasSem4[[#This Row],[Produto]],cálculos!$I$3:$L$50,4,0),"")</f>
        <v>Kg</v>
      </c>
      <c r="F491">
        <v>1</v>
      </c>
      <c r="G491" s="6">
        <f>IFERROR(VLOOKUP(VendasSem4[[#This Row],[Produto]],cálculos!$I$3:$L$50,3,0),0)</f>
        <v>5</v>
      </c>
      <c r="H491" s="6">
        <f>IFERROR(VendasSem4[[#This Row],[Quantidade]]*VendasSem4[[#This Row],[Preço Unitário]],0)</f>
        <v>5</v>
      </c>
      <c r="I491" s="11"/>
      <c r="J491" t="s">
        <v>112</v>
      </c>
      <c r="K491" s="6">
        <f>IFERROR(IF(VendasSem4[[#This Row],[Id da Venda]]=B492,0,VLOOKUP(VendasSem4[[#This Row],[Região de Entrega]],cálculos!$B$5:$C$9,2,0)),0)</f>
        <v>0</v>
      </c>
      <c r="L491" s="6">
        <f>(VendasSem4[[#This Row],[Subtotal]]*(1-VendasSem4[[#This Row],[Desconto]])+VendasSem4[[#This Row],[Valor de Entrega]])</f>
        <v>5</v>
      </c>
      <c r="M491" s="6" t="str">
        <f>IF(VendasSem4[[#This Row],[Id da Venda]]=B492,"",SUMIF(VendasSem4[Id da Venda],VendasSem4[[#This Row],[Id da Venda]],VendasSem4[Total]))</f>
        <v/>
      </c>
    </row>
    <row r="492" spans="2:13" x14ac:dyDescent="0.25">
      <c r="B492">
        <v>95</v>
      </c>
      <c r="C492" s="7">
        <v>45192</v>
      </c>
      <c r="D492" t="s">
        <v>45</v>
      </c>
      <c r="E492" t="str">
        <f>IFERROR(VLOOKUP(VendasSem4[[#This Row],[Produto]],cálculos!$I$3:$L$50,4,0),"")</f>
        <v>Lata</v>
      </c>
      <c r="F492">
        <v>4</v>
      </c>
      <c r="G492" s="6">
        <f>IFERROR(VLOOKUP(VendasSem4[[#This Row],[Produto]],cálculos!$I$3:$L$50,3,0),0)</f>
        <v>2.19</v>
      </c>
      <c r="H492" s="6">
        <f>IFERROR(VendasSem4[[#This Row],[Quantidade]]*VendasSem4[[#This Row],[Preço Unitário]],0)</f>
        <v>8.76</v>
      </c>
      <c r="I492" s="11"/>
      <c r="J492" t="s">
        <v>112</v>
      </c>
      <c r="K492" s="6">
        <f>IFERROR(IF(VendasSem4[[#This Row],[Id da Venda]]=B493,0,VLOOKUP(VendasSem4[[#This Row],[Região de Entrega]],cálculos!$B$5:$C$9,2,0)),0)</f>
        <v>0</v>
      </c>
      <c r="L492" s="6">
        <f>(VendasSem4[[#This Row],[Subtotal]]*(1-VendasSem4[[#This Row],[Desconto]])+VendasSem4[[#This Row],[Valor de Entrega]])</f>
        <v>8.76</v>
      </c>
      <c r="M492" s="6" t="str">
        <f>IF(VendasSem4[[#This Row],[Id da Venda]]=B493,"",SUMIF(VendasSem4[Id da Venda],VendasSem4[[#This Row],[Id da Venda]],VendasSem4[Total]))</f>
        <v/>
      </c>
    </row>
    <row r="493" spans="2:13" x14ac:dyDescent="0.25">
      <c r="B493">
        <v>95</v>
      </c>
      <c r="C493" s="7">
        <v>45192</v>
      </c>
      <c r="D493" t="s">
        <v>128</v>
      </c>
      <c r="E493" t="str">
        <f>IFERROR(VLOOKUP(VendasSem4[[#This Row],[Produto]],cálculos!$I$3:$L$50,4,0),"")</f>
        <v>Kg</v>
      </c>
      <c r="F493">
        <v>2</v>
      </c>
      <c r="G493" s="6">
        <f>IFERROR(VLOOKUP(VendasSem4[[#This Row],[Produto]],cálculos!$I$3:$L$50,3,0),0)</f>
        <v>10</v>
      </c>
      <c r="H493" s="6">
        <f>IFERROR(VendasSem4[[#This Row],[Quantidade]]*VendasSem4[[#This Row],[Preço Unitário]],0)</f>
        <v>20</v>
      </c>
      <c r="I493" s="11"/>
      <c r="J493" t="s">
        <v>112</v>
      </c>
      <c r="K493" s="6">
        <f>IFERROR(IF(VendasSem4[[#This Row],[Id da Venda]]=B494,0,VLOOKUP(VendasSem4[[#This Row],[Região de Entrega]],cálculos!$B$5:$C$9,2,0)),0)</f>
        <v>0</v>
      </c>
      <c r="L493" s="6">
        <f>(VendasSem4[[#This Row],[Subtotal]]*(1-VendasSem4[[#This Row],[Desconto]])+VendasSem4[[#This Row],[Valor de Entrega]])</f>
        <v>20</v>
      </c>
      <c r="M493" s="6" t="str">
        <f>IF(VendasSem4[[#This Row],[Id da Venda]]=B494,"",SUMIF(VendasSem4[Id da Venda],VendasSem4[[#This Row],[Id da Venda]],VendasSem4[Total]))</f>
        <v/>
      </c>
    </row>
    <row r="494" spans="2:13" x14ac:dyDescent="0.25">
      <c r="B494">
        <v>95</v>
      </c>
      <c r="C494" s="7">
        <v>45192</v>
      </c>
      <c r="D494" t="s">
        <v>130</v>
      </c>
      <c r="E494" t="str">
        <f>IFERROR(VLOOKUP(VendasSem4[[#This Row],[Produto]],cálculos!$I$3:$L$50,4,0),"")</f>
        <v>Kg</v>
      </c>
      <c r="F494">
        <v>1</v>
      </c>
      <c r="G494" s="6">
        <f>IFERROR(VLOOKUP(VendasSem4[[#This Row],[Produto]],cálculos!$I$3:$L$50,3,0),0)</f>
        <v>2.8</v>
      </c>
      <c r="H494" s="6">
        <f>IFERROR(VendasSem4[[#This Row],[Quantidade]]*VendasSem4[[#This Row],[Preço Unitário]],0)</f>
        <v>2.8</v>
      </c>
      <c r="I494" s="11"/>
      <c r="J494" t="s">
        <v>112</v>
      </c>
      <c r="K494" s="6">
        <f>IFERROR(IF(VendasSem4[[#This Row],[Id da Venda]]=B495,0,VLOOKUP(VendasSem4[[#This Row],[Região de Entrega]],cálculos!$B$5:$C$9,2,0)),0)</f>
        <v>0</v>
      </c>
      <c r="L494" s="6">
        <f>(VendasSem4[[#This Row],[Subtotal]]*(1-VendasSem4[[#This Row],[Desconto]])+VendasSem4[[#This Row],[Valor de Entrega]])</f>
        <v>2.8</v>
      </c>
      <c r="M494" s="6" t="str">
        <f>IF(VendasSem4[[#This Row],[Id da Venda]]=B495,"",SUMIF(VendasSem4[Id da Venda],VendasSem4[[#This Row],[Id da Venda]],VendasSem4[Total]))</f>
        <v/>
      </c>
    </row>
    <row r="495" spans="2:13" x14ac:dyDescent="0.25">
      <c r="B495">
        <v>95</v>
      </c>
      <c r="C495" s="7">
        <v>45192</v>
      </c>
      <c r="D495" t="s">
        <v>56</v>
      </c>
      <c r="E495" t="str">
        <f>IFERROR(VLOOKUP(VendasSem4[[#This Row],[Produto]],cálculos!$I$3:$L$50,4,0),"")</f>
        <v>Pacote</v>
      </c>
      <c r="F495">
        <v>1</v>
      </c>
      <c r="G495" s="6">
        <f>IFERROR(VLOOKUP(VendasSem4[[#This Row],[Produto]],cálculos!$I$3:$L$50,3,0),0)</f>
        <v>1.99</v>
      </c>
      <c r="H495" s="6">
        <f>IFERROR(VendasSem4[[#This Row],[Quantidade]]*VendasSem4[[#This Row],[Preço Unitário]],0)</f>
        <v>1.99</v>
      </c>
      <c r="I495" s="11"/>
      <c r="J495" t="s">
        <v>112</v>
      </c>
      <c r="K495" s="6">
        <f>IFERROR(IF(VendasSem4[[#This Row],[Id da Venda]]=B496,0,VLOOKUP(VendasSem4[[#This Row],[Região de Entrega]],cálculos!$B$5:$C$9,2,0)),0)</f>
        <v>0</v>
      </c>
      <c r="L495" s="6">
        <f>(VendasSem4[[#This Row],[Subtotal]]*(1-VendasSem4[[#This Row],[Desconto]])+VendasSem4[[#This Row],[Valor de Entrega]])</f>
        <v>1.99</v>
      </c>
      <c r="M495" s="6" t="str">
        <f>IF(VendasSem4[[#This Row],[Id da Venda]]=B496,"",SUMIF(VendasSem4[Id da Venda],VendasSem4[[#This Row],[Id da Venda]],VendasSem4[Total]))</f>
        <v/>
      </c>
    </row>
    <row r="496" spans="2:13" x14ac:dyDescent="0.25">
      <c r="B496">
        <v>95</v>
      </c>
      <c r="C496" s="7">
        <v>45192</v>
      </c>
      <c r="D496" t="s">
        <v>47</v>
      </c>
      <c r="E496" t="str">
        <f>IFERROR(VLOOKUP(VendasSem4[[#This Row],[Produto]],cálculos!$I$3:$L$50,4,0),"")</f>
        <v>Unidade</v>
      </c>
      <c r="F496">
        <v>3</v>
      </c>
      <c r="G496" s="6">
        <f>IFERROR(VLOOKUP(VendasSem4[[#This Row],[Produto]],cálculos!$I$3:$L$50,3,0),0)</f>
        <v>2.6</v>
      </c>
      <c r="H496" s="6">
        <f>IFERROR(VendasSem4[[#This Row],[Quantidade]]*VendasSem4[[#This Row],[Preço Unitário]],0)</f>
        <v>7.8000000000000007</v>
      </c>
      <c r="I496" s="11"/>
      <c r="J496" t="s">
        <v>112</v>
      </c>
      <c r="K496" s="6">
        <f>IFERROR(IF(VendasSem4[[#This Row],[Id da Venda]]=B497,0,VLOOKUP(VendasSem4[[#This Row],[Região de Entrega]],cálculos!$B$5:$C$9,2,0)),0)</f>
        <v>0</v>
      </c>
      <c r="L496" s="6">
        <f>(VendasSem4[[#This Row],[Subtotal]]*(1-VendasSem4[[#This Row],[Desconto]])+VendasSem4[[#This Row],[Valor de Entrega]])</f>
        <v>7.8000000000000007</v>
      </c>
      <c r="M496" s="6" t="str">
        <f>IF(VendasSem4[[#This Row],[Id da Venda]]=B497,"",SUMIF(VendasSem4[Id da Venda],VendasSem4[[#This Row],[Id da Venda]],VendasSem4[Total]))</f>
        <v/>
      </c>
    </row>
    <row r="497" spans="2:13" x14ac:dyDescent="0.25">
      <c r="B497">
        <v>95</v>
      </c>
      <c r="C497" s="7">
        <v>45192</v>
      </c>
      <c r="D497" t="s">
        <v>125</v>
      </c>
      <c r="E497" t="str">
        <f>IFERROR(VLOOKUP(VendasSem4[[#This Row],[Produto]],cálculos!$I$3:$L$50,4,0),"")</f>
        <v>Unidade</v>
      </c>
      <c r="F497">
        <v>2</v>
      </c>
      <c r="G497" s="6">
        <f>IFERROR(VLOOKUP(VendasSem4[[#This Row],[Produto]],cálculos!$I$3:$L$50,3,0),0)</f>
        <v>4.5</v>
      </c>
      <c r="H497" s="6">
        <f>IFERROR(VendasSem4[[#This Row],[Quantidade]]*VendasSem4[[#This Row],[Preço Unitário]],0)</f>
        <v>9</v>
      </c>
      <c r="I497" s="11"/>
      <c r="J497" t="s">
        <v>112</v>
      </c>
      <c r="K497" s="6">
        <f>IFERROR(IF(VendasSem4[[#This Row],[Id da Venda]]=B498,0,VLOOKUP(VendasSem4[[#This Row],[Região de Entrega]],cálculos!$B$5:$C$9,2,0)),0)</f>
        <v>0</v>
      </c>
      <c r="L497" s="6">
        <f>(VendasSem4[[#This Row],[Subtotal]]*(1-VendasSem4[[#This Row],[Desconto]])+VendasSem4[[#This Row],[Valor de Entrega]])</f>
        <v>9</v>
      </c>
      <c r="M497" s="6" t="str">
        <f>IF(VendasSem4[[#This Row],[Id da Venda]]=B498,"",SUMIF(VendasSem4[Id da Venda],VendasSem4[[#This Row],[Id da Venda]],VendasSem4[Total]))</f>
        <v/>
      </c>
    </row>
    <row r="498" spans="2:13" x14ac:dyDescent="0.25">
      <c r="B498">
        <v>95</v>
      </c>
      <c r="C498" s="7">
        <v>45192</v>
      </c>
      <c r="D498" t="s">
        <v>123</v>
      </c>
      <c r="E498" t="str">
        <f>IFERROR(VLOOKUP(VendasSem4[[#This Row],[Produto]],cálculos!$I$3:$L$50,4,0),"")</f>
        <v>Kg</v>
      </c>
      <c r="F498">
        <v>1</v>
      </c>
      <c r="G498" s="6">
        <f>IFERROR(VLOOKUP(VendasSem4[[#This Row],[Produto]],cálculos!$I$3:$L$50,3,0),0)</f>
        <v>8</v>
      </c>
      <c r="H498" s="6">
        <f>IFERROR(VendasSem4[[#This Row],[Quantidade]]*VendasSem4[[#This Row],[Preço Unitário]],0)</f>
        <v>8</v>
      </c>
      <c r="I498" s="11"/>
      <c r="J498" t="s">
        <v>112</v>
      </c>
      <c r="K498" s="6">
        <f>IFERROR(IF(VendasSem4[[#This Row],[Id da Venda]]=B499,0,VLOOKUP(VendasSem4[[#This Row],[Região de Entrega]],cálculos!$B$5:$C$9,2,0)),0)</f>
        <v>0</v>
      </c>
      <c r="L498" s="6">
        <f>(VendasSem4[[#This Row],[Subtotal]]*(1-VendasSem4[[#This Row],[Desconto]])+VendasSem4[[#This Row],[Valor de Entrega]])</f>
        <v>8</v>
      </c>
      <c r="M498" s="6" t="str">
        <f>IF(VendasSem4[[#This Row],[Id da Venda]]=B499,"",SUMIF(VendasSem4[Id da Venda],VendasSem4[[#This Row],[Id da Venda]],VendasSem4[Total]))</f>
        <v/>
      </c>
    </row>
    <row r="499" spans="2:13" x14ac:dyDescent="0.25">
      <c r="B499">
        <v>95</v>
      </c>
      <c r="C499" s="7">
        <v>45192</v>
      </c>
      <c r="D499" t="s">
        <v>33</v>
      </c>
      <c r="E499" t="str">
        <f>IFERROR(VLOOKUP(VendasSem4[[#This Row],[Produto]],cálculos!$I$3:$L$50,4,0),"")</f>
        <v>Kg</v>
      </c>
      <c r="F499">
        <v>4</v>
      </c>
      <c r="G499" s="6">
        <f>IFERROR(VLOOKUP(VendasSem4[[#This Row],[Produto]],cálculos!$I$3:$L$50,3,0),0)</f>
        <v>4.28</v>
      </c>
      <c r="H499" s="6">
        <f>IFERROR(VendasSem4[[#This Row],[Quantidade]]*VendasSem4[[#This Row],[Preço Unitário]],0)</f>
        <v>17.12</v>
      </c>
      <c r="I499" s="11"/>
      <c r="J499" t="s">
        <v>112</v>
      </c>
      <c r="K499" s="6">
        <f>IFERROR(IF(VendasSem4[[#This Row],[Id da Venda]]=B500,0,VLOOKUP(VendasSem4[[#This Row],[Região de Entrega]],cálculos!$B$5:$C$9,2,0)),0)</f>
        <v>0</v>
      </c>
      <c r="L499" s="6">
        <f>(VendasSem4[[#This Row],[Subtotal]]*(1-VendasSem4[[#This Row],[Desconto]])+VendasSem4[[#This Row],[Valor de Entrega]])</f>
        <v>17.12</v>
      </c>
      <c r="M499" s="6" t="str">
        <f>IF(VendasSem4[[#This Row],[Id da Venda]]=B500,"",SUMIF(VendasSem4[Id da Venda],VendasSem4[[#This Row],[Id da Venda]],VendasSem4[Total]))</f>
        <v/>
      </c>
    </row>
    <row r="500" spans="2:13" x14ac:dyDescent="0.25">
      <c r="B500">
        <v>95</v>
      </c>
      <c r="C500" s="7">
        <v>45192</v>
      </c>
      <c r="D500" t="s">
        <v>133</v>
      </c>
      <c r="E500" t="str">
        <f>IFERROR(VLOOKUP(VendasSem4[[#This Row],[Produto]],cálculos!$I$3:$L$50,4,0),"")</f>
        <v>Kg</v>
      </c>
      <c r="F500">
        <v>1</v>
      </c>
      <c r="G500" s="6">
        <f>IFERROR(VLOOKUP(VendasSem4[[#This Row],[Produto]],cálculos!$I$3:$L$50,3,0),0)</f>
        <v>3</v>
      </c>
      <c r="H500" s="6">
        <f>IFERROR(VendasSem4[[#This Row],[Quantidade]]*VendasSem4[[#This Row],[Preço Unitário]],0)</f>
        <v>3</v>
      </c>
      <c r="I500" s="11"/>
      <c r="J500" t="s">
        <v>112</v>
      </c>
      <c r="K500" s="6">
        <f>IFERROR(IF(VendasSem4[[#This Row],[Id da Venda]]=B501,0,VLOOKUP(VendasSem4[[#This Row],[Região de Entrega]],cálculos!$B$5:$C$9,2,0)),0)</f>
        <v>0</v>
      </c>
      <c r="L500" s="6">
        <f>(VendasSem4[[#This Row],[Subtotal]]*(1-VendasSem4[[#This Row],[Desconto]])+VendasSem4[[#This Row],[Valor de Entrega]])</f>
        <v>3</v>
      </c>
      <c r="M500" s="6" t="str">
        <f>IF(VendasSem4[[#This Row],[Id da Venda]]=B501,"",SUMIF(VendasSem4[Id da Venda],VendasSem4[[#This Row],[Id da Venda]],VendasSem4[Total]))</f>
        <v/>
      </c>
    </row>
    <row r="501" spans="2:13" x14ac:dyDescent="0.25">
      <c r="B501">
        <v>95</v>
      </c>
      <c r="C501" s="7">
        <v>45192</v>
      </c>
      <c r="D501" t="s">
        <v>41</v>
      </c>
      <c r="E501" t="str">
        <f>IFERROR(VLOOKUP(VendasSem4[[#This Row],[Produto]],cálculos!$I$3:$L$50,4,0),"")</f>
        <v>Litro</v>
      </c>
      <c r="F501">
        <v>2</v>
      </c>
      <c r="G501" s="6">
        <f>IFERROR(VLOOKUP(VendasSem4[[#This Row],[Produto]],cálculos!$I$3:$L$50,3,0),0)</f>
        <v>3.45</v>
      </c>
      <c r="H501" s="6">
        <f>IFERROR(VendasSem4[[#This Row],[Quantidade]]*VendasSem4[[#This Row],[Preço Unitário]],0)</f>
        <v>6.9</v>
      </c>
      <c r="I501" s="11"/>
      <c r="J501" t="s">
        <v>112</v>
      </c>
      <c r="K501" s="6">
        <f>IFERROR(IF(VendasSem4[[#This Row],[Id da Venda]]=B502,0,VLOOKUP(VendasSem4[[#This Row],[Região de Entrega]],cálculos!$B$5:$C$9,2,0)),0)</f>
        <v>0</v>
      </c>
      <c r="L501" s="6">
        <f>(VendasSem4[[#This Row],[Subtotal]]*(1-VendasSem4[[#This Row],[Desconto]])+VendasSem4[[#This Row],[Valor de Entrega]])</f>
        <v>6.9</v>
      </c>
      <c r="M501" s="6" t="str">
        <f>IF(VendasSem4[[#This Row],[Id da Venda]]=B502,"",SUMIF(VendasSem4[Id da Venda],VendasSem4[[#This Row],[Id da Venda]],VendasSem4[Total]))</f>
        <v/>
      </c>
    </row>
    <row r="502" spans="2:13" x14ac:dyDescent="0.25">
      <c r="B502">
        <v>95</v>
      </c>
      <c r="C502" s="7">
        <v>45192</v>
      </c>
      <c r="D502" t="s">
        <v>71</v>
      </c>
      <c r="E502" t="str">
        <f>IFERROR(VLOOKUP(VendasSem4[[#This Row],[Produto]],cálculos!$I$3:$L$50,4,0),"")</f>
        <v>Unidade</v>
      </c>
      <c r="F502">
        <v>1</v>
      </c>
      <c r="G502" s="6">
        <f>IFERROR(VLOOKUP(VendasSem4[[#This Row],[Produto]],cálculos!$I$3:$L$50,3,0),0)</f>
        <v>2.89</v>
      </c>
      <c r="H502" s="6">
        <f>IFERROR(VendasSem4[[#This Row],[Quantidade]]*VendasSem4[[#This Row],[Preço Unitário]],0)</f>
        <v>2.89</v>
      </c>
      <c r="I502" s="11"/>
      <c r="J502" t="s">
        <v>112</v>
      </c>
      <c r="K502" s="6">
        <f>IFERROR(IF(VendasSem4[[#This Row],[Id da Venda]]=B503,0,VLOOKUP(VendasSem4[[#This Row],[Região de Entrega]],cálculos!$B$5:$C$9,2,0)),0)</f>
        <v>0</v>
      </c>
      <c r="L502" s="6">
        <f>(VendasSem4[[#This Row],[Subtotal]]*(1-VendasSem4[[#This Row],[Desconto]])+VendasSem4[[#This Row],[Valor de Entrega]])</f>
        <v>2.89</v>
      </c>
      <c r="M502" s="6" t="str">
        <f>IF(VendasSem4[[#This Row],[Id da Venda]]=B503,"",SUMIF(VendasSem4[Id da Venda],VendasSem4[[#This Row],[Id da Venda]],VendasSem4[Total]))</f>
        <v/>
      </c>
    </row>
    <row r="503" spans="2:13" x14ac:dyDescent="0.25">
      <c r="B503">
        <v>95</v>
      </c>
      <c r="C503" s="7">
        <v>45192</v>
      </c>
      <c r="D503" t="s">
        <v>43</v>
      </c>
      <c r="E503" t="str">
        <f>IFERROR(VLOOKUP(VendasSem4[[#This Row],[Produto]],cálculos!$I$3:$L$50,4,0),"")</f>
        <v>Kg</v>
      </c>
      <c r="F503">
        <v>1</v>
      </c>
      <c r="G503" s="6">
        <f>IFERROR(VLOOKUP(VendasSem4[[#This Row],[Produto]],cálculos!$I$3:$L$50,3,0),0)</f>
        <v>9.58</v>
      </c>
      <c r="H503" s="6">
        <f>IFERROR(VendasSem4[[#This Row],[Quantidade]]*VendasSem4[[#This Row],[Preço Unitário]],0)</f>
        <v>9.58</v>
      </c>
      <c r="I503" s="11"/>
      <c r="J503" t="s">
        <v>112</v>
      </c>
      <c r="K503" s="6">
        <f>IFERROR(IF(VendasSem4[[#This Row],[Id da Venda]]=B504,0,VLOOKUP(VendasSem4[[#This Row],[Região de Entrega]],cálculos!$B$5:$C$9,2,0)),0)</f>
        <v>0</v>
      </c>
      <c r="L503" s="6">
        <f>(VendasSem4[[#This Row],[Subtotal]]*(1-VendasSem4[[#This Row],[Desconto]])+VendasSem4[[#This Row],[Valor de Entrega]])</f>
        <v>9.58</v>
      </c>
      <c r="M503" s="6" t="str">
        <f>IF(VendasSem4[[#This Row],[Id da Venda]]=B504,"",SUMIF(VendasSem4[Id da Venda],VendasSem4[[#This Row],[Id da Venda]],VendasSem4[Total]))</f>
        <v/>
      </c>
    </row>
    <row r="504" spans="2:13" x14ac:dyDescent="0.25">
      <c r="B504">
        <v>95</v>
      </c>
      <c r="C504" s="7">
        <v>45192</v>
      </c>
      <c r="D504" t="s">
        <v>136</v>
      </c>
      <c r="E504" t="str">
        <f>IFERROR(VLOOKUP(VendasSem4[[#This Row],[Produto]],cálculos!$I$3:$L$50,4,0),"")</f>
        <v>Unidade</v>
      </c>
      <c r="F504">
        <v>2</v>
      </c>
      <c r="G504" s="6">
        <f>IFERROR(VLOOKUP(VendasSem4[[#This Row],[Produto]],cálculos!$I$3:$L$50,3,0),0)</f>
        <v>10</v>
      </c>
      <c r="H504" s="6">
        <f>IFERROR(VendasSem4[[#This Row],[Quantidade]]*VendasSem4[[#This Row],[Preço Unitário]],0)</f>
        <v>20</v>
      </c>
      <c r="I504" s="11"/>
      <c r="J504" t="s">
        <v>112</v>
      </c>
      <c r="K504" s="6">
        <f>IFERROR(IF(VendasSem4[[#This Row],[Id da Venda]]=B505,0,VLOOKUP(VendasSem4[[#This Row],[Região de Entrega]],cálculos!$B$5:$C$9,2,0)),0)</f>
        <v>0</v>
      </c>
      <c r="L504" s="6">
        <f>(VendasSem4[[#This Row],[Subtotal]]*(1-VendasSem4[[#This Row],[Desconto]])+VendasSem4[[#This Row],[Valor de Entrega]])</f>
        <v>20</v>
      </c>
      <c r="M504" s="6" t="str">
        <f>IF(VendasSem4[[#This Row],[Id da Venda]]=B505,"",SUMIF(VendasSem4[Id da Venda],VendasSem4[[#This Row],[Id da Venda]],VendasSem4[Total]))</f>
        <v/>
      </c>
    </row>
    <row r="505" spans="2:13" x14ac:dyDescent="0.25">
      <c r="B505">
        <v>95</v>
      </c>
      <c r="C505" s="7">
        <v>45192</v>
      </c>
      <c r="D505" t="s">
        <v>122</v>
      </c>
      <c r="E505" t="str">
        <f>IFERROR(VLOOKUP(VendasSem4[[#This Row],[Produto]],cálculos!$I$3:$L$50,4,0),"")</f>
        <v>Kg</v>
      </c>
      <c r="F505">
        <v>2</v>
      </c>
      <c r="G505" s="6">
        <f>IFERROR(VLOOKUP(VendasSem4[[#This Row],[Produto]],cálculos!$I$3:$L$50,3,0),0)</f>
        <v>7</v>
      </c>
      <c r="H505" s="6">
        <f>IFERROR(VendasSem4[[#This Row],[Quantidade]]*VendasSem4[[#This Row],[Preço Unitário]],0)</f>
        <v>14</v>
      </c>
      <c r="I505" s="11"/>
      <c r="J505" t="s">
        <v>112</v>
      </c>
      <c r="K505" s="6">
        <f>IFERROR(IF(VendasSem4[[#This Row],[Id da Venda]]=B506,0,VLOOKUP(VendasSem4[[#This Row],[Região de Entrega]],cálculos!$B$5:$C$9,2,0)),0)</f>
        <v>0</v>
      </c>
      <c r="L505" s="6">
        <f>(VendasSem4[[#This Row],[Subtotal]]*(1-VendasSem4[[#This Row],[Desconto]])+VendasSem4[[#This Row],[Valor de Entrega]])</f>
        <v>14</v>
      </c>
      <c r="M505" s="6" t="str">
        <f>IF(VendasSem4[[#This Row],[Id da Venda]]=B506,"",SUMIF(VendasSem4[Id da Venda],VendasSem4[[#This Row],[Id da Venda]],VendasSem4[Total]))</f>
        <v/>
      </c>
    </row>
    <row r="506" spans="2:13" x14ac:dyDescent="0.25">
      <c r="B506">
        <v>95</v>
      </c>
      <c r="C506" s="7">
        <v>45192</v>
      </c>
      <c r="D506" t="s">
        <v>119</v>
      </c>
      <c r="E506" t="str">
        <f>IFERROR(VLOOKUP(VendasSem4[[#This Row],[Produto]],cálculos!$I$3:$L$50,4,0),"")</f>
        <v>Kg</v>
      </c>
      <c r="F506">
        <v>1</v>
      </c>
      <c r="G506" s="6">
        <f>IFERROR(VLOOKUP(VendasSem4[[#This Row],[Produto]],cálculos!$I$3:$L$50,3,0),0)</f>
        <v>6.8</v>
      </c>
      <c r="H506" s="6">
        <f>IFERROR(VendasSem4[[#This Row],[Quantidade]]*VendasSem4[[#This Row],[Preço Unitário]],0)</f>
        <v>6.8</v>
      </c>
      <c r="I506" s="11"/>
      <c r="J506" t="s">
        <v>112</v>
      </c>
      <c r="K506" s="6">
        <f>IFERROR(IF(VendasSem4[[#This Row],[Id da Venda]]=B507,0,VLOOKUP(VendasSem4[[#This Row],[Região de Entrega]],cálculos!$B$5:$C$9,2,0)),0)</f>
        <v>7</v>
      </c>
      <c r="L506" s="6">
        <f>(VendasSem4[[#This Row],[Subtotal]]*(1-VendasSem4[[#This Row],[Desconto]])+VendasSem4[[#This Row],[Valor de Entrega]])</f>
        <v>13.8</v>
      </c>
      <c r="M506" s="6">
        <f>IF(VendasSem4[[#This Row],[Id da Venda]]=B507,"",SUMIF(VendasSem4[Id da Venda],VendasSem4[[#This Row],[Id da Venda]],VendasSem4[Total]))</f>
        <v>350.81</v>
      </c>
    </row>
    <row r="507" spans="2:13" x14ac:dyDescent="0.25">
      <c r="B507">
        <v>96</v>
      </c>
      <c r="C507" s="7">
        <v>45192</v>
      </c>
      <c r="D507" t="s">
        <v>128</v>
      </c>
      <c r="E507" t="str">
        <f>IFERROR(VLOOKUP(VendasSem4[[#This Row],[Produto]],cálculos!$I$3:$L$50,4,0),"")</f>
        <v>Kg</v>
      </c>
      <c r="F507">
        <v>1</v>
      </c>
      <c r="G507" s="6">
        <f>IFERROR(VLOOKUP(VendasSem4[[#This Row],[Produto]],cálculos!$I$3:$L$50,3,0),0)</f>
        <v>10</v>
      </c>
      <c r="H507" s="6">
        <f>IFERROR(VendasSem4[[#This Row],[Quantidade]]*VendasSem4[[#This Row],[Preço Unitário]],0)</f>
        <v>10</v>
      </c>
      <c r="I507" s="11"/>
      <c r="J507" t="s">
        <v>111</v>
      </c>
      <c r="K507" s="6">
        <f>IFERROR(IF(VendasSem4[[#This Row],[Id da Venda]]=B508,0,VLOOKUP(VendasSem4[[#This Row],[Região de Entrega]],cálculos!$B$5:$C$9,2,0)),0)</f>
        <v>0</v>
      </c>
      <c r="L507" s="6">
        <f>(VendasSem4[[#This Row],[Subtotal]]*(1-VendasSem4[[#This Row],[Desconto]])+VendasSem4[[#This Row],[Valor de Entrega]])</f>
        <v>10</v>
      </c>
      <c r="M507" s="6" t="str">
        <f>IF(VendasSem4[[#This Row],[Id da Venda]]=B508,"",SUMIF(VendasSem4[Id da Venda],VendasSem4[[#This Row],[Id da Venda]],VendasSem4[Total]))</f>
        <v/>
      </c>
    </row>
    <row r="508" spans="2:13" x14ac:dyDescent="0.25">
      <c r="B508">
        <v>96</v>
      </c>
      <c r="C508" s="7">
        <v>45192</v>
      </c>
      <c r="D508" t="s">
        <v>131</v>
      </c>
      <c r="E508" t="str">
        <f>IFERROR(VLOOKUP(VendasSem4[[#This Row],[Produto]],cálculos!$I$3:$L$50,4,0),"")</f>
        <v>Kg</v>
      </c>
      <c r="F508">
        <v>1</v>
      </c>
      <c r="G508" s="6">
        <f>IFERROR(VLOOKUP(VendasSem4[[#This Row],[Produto]],cálculos!$I$3:$L$50,3,0),0)</f>
        <v>3</v>
      </c>
      <c r="H508" s="6">
        <f>IFERROR(VendasSem4[[#This Row],[Quantidade]]*VendasSem4[[#This Row],[Preço Unitário]],0)</f>
        <v>3</v>
      </c>
      <c r="I508" s="11"/>
      <c r="J508" t="s">
        <v>111</v>
      </c>
      <c r="K508" s="6">
        <f>IFERROR(IF(VendasSem4[[#This Row],[Id da Venda]]=B509,0,VLOOKUP(VendasSem4[[#This Row],[Região de Entrega]],cálculos!$B$5:$C$9,2,0)),0)</f>
        <v>0</v>
      </c>
      <c r="L508" s="6">
        <f>(VendasSem4[[#This Row],[Subtotal]]*(1-VendasSem4[[#This Row],[Desconto]])+VendasSem4[[#This Row],[Valor de Entrega]])</f>
        <v>3</v>
      </c>
      <c r="M508" s="6" t="str">
        <f>IF(VendasSem4[[#This Row],[Id da Venda]]=B509,"",SUMIF(VendasSem4[Id da Venda],VendasSem4[[#This Row],[Id da Venda]],VendasSem4[Total]))</f>
        <v/>
      </c>
    </row>
    <row r="509" spans="2:13" x14ac:dyDescent="0.25">
      <c r="B509">
        <v>96</v>
      </c>
      <c r="C509" s="7">
        <v>45192</v>
      </c>
      <c r="D509" t="s">
        <v>130</v>
      </c>
      <c r="E509" t="str">
        <f>IFERROR(VLOOKUP(VendasSem4[[#This Row],[Produto]],cálculos!$I$3:$L$50,4,0),"")</f>
        <v>Kg</v>
      </c>
      <c r="F509">
        <v>2</v>
      </c>
      <c r="G509" s="6">
        <f>IFERROR(VLOOKUP(VendasSem4[[#This Row],[Produto]],cálculos!$I$3:$L$50,3,0),0)</f>
        <v>2.8</v>
      </c>
      <c r="H509" s="6">
        <f>IFERROR(VendasSem4[[#This Row],[Quantidade]]*VendasSem4[[#This Row],[Preço Unitário]],0)</f>
        <v>5.6</v>
      </c>
      <c r="I509" s="11"/>
      <c r="J509" t="s">
        <v>111</v>
      </c>
      <c r="K509" s="6">
        <f>IFERROR(IF(VendasSem4[[#This Row],[Id da Venda]]=B510,0,VLOOKUP(VendasSem4[[#This Row],[Região de Entrega]],cálculos!$B$5:$C$9,2,0)),0)</f>
        <v>0</v>
      </c>
      <c r="L509" s="6">
        <f>(VendasSem4[[#This Row],[Subtotal]]*(1-VendasSem4[[#This Row],[Desconto]])+VendasSem4[[#This Row],[Valor de Entrega]])</f>
        <v>5.6</v>
      </c>
      <c r="M509" s="6" t="str">
        <f>IF(VendasSem4[[#This Row],[Id da Venda]]=B510,"",SUMIF(VendasSem4[Id da Venda],VendasSem4[[#This Row],[Id da Venda]],VendasSem4[Total]))</f>
        <v/>
      </c>
    </row>
    <row r="510" spans="2:13" x14ac:dyDescent="0.25">
      <c r="B510">
        <v>96</v>
      </c>
      <c r="C510" s="7">
        <v>45192</v>
      </c>
      <c r="D510" t="s">
        <v>127</v>
      </c>
      <c r="E510" t="str">
        <f>IFERROR(VLOOKUP(VendasSem4[[#This Row],[Produto]],cálculos!$I$3:$L$50,4,0),"")</f>
        <v>Kg</v>
      </c>
      <c r="F510">
        <v>2</v>
      </c>
      <c r="G510" s="6">
        <f>IFERROR(VLOOKUP(VendasSem4[[#This Row],[Produto]],cálculos!$I$3:$L$50,3,0),0)</f>
        <v>6.9</v>
      </c>
      <c r="H510" s="6">
        <f>IFERROR(VendasSem4[[#This Row],[Quantidade]]*VendasSem4[[#This Row],[Preço Unitário]],0)</f>
        <v>13.8</v>
      </c>
      <c r="I510" s="11"/>
      <c r="J510" t="s">
        <v>111</v>
      </c>
      <c r="K510" s="6">
        <f>IFERROR(IF(VendasSem4[[#This Row],[Id da Venda]]=B511,0,VLOOKUP(VendasSem4[[#This Row],[Região de Entrega]],cálculos!$B$5:$C$9,2,0)),0)</f>
        <v>0</v>
      </c>
      <c r="L510" s="6">
        <f>(VendasSem4[[#This Row],[Subtotal]]*(1-VendasSem4[[#This Row],[Desconto]])+VendasSem4[[#This Row],[Valor de Entrega]])</f>
        <v>13.8</v>
      </c>
      <c r="M510" s="6" t="str">
        <f>IF(VendasSem4[[#This Row],[Id da Venda]]=B511,"",SUMIF(VendasSem4[Id da Venda],VendasSem4[[#This Row],[Id da Venda]],VendasSem4[Total]))</f>
        <v/>
      </c>
    </row>
    <row r="511" spans="2:13" x14ac:dyDescent="0.25">
      <c r="B511">
        <v>96</v>
      </c>
      <c r="C511" s="7">
        <v>45192</v>
      </c>
      <c r="D511" t="s">
        <v>36</v>
      </c>
      <c r="E511" t="str">
        <f>IFERROR(VLOOKUP(VendasSem4[[#This Row],[Produto]],cálculos!$I$3:$L$50,4,0),"")</f>
        <v>Kg</v>
      </c>
      <c r="F511">
        <v>5</v>
      </c>
      <c r="G511" s="6">
        <f>IFERROR(VLOOKUP(VendasSem4[[#This Row],[Produto]],cálculos!$I$3:$L$50,3,0),0)</f>
        <v>15.9</v>
      </c>
      <c r="H511" s="6">
        <f>IFERROR(VendasSem4[[#This Row],[Quantidade]]*VendasSem4[[#This Row],[Preço Unitário]],0)</f>
        <v>79.5</v>
      </c>
      <c r="I511" s="11"/>
      <c r="J511" t="s">
        <v>111</v>
      </c>
      <c r="K511" s="6">
        <f>IFERROR(IF(VendasSem4[[#This Row],[Id da Venda]]=B512,0,VLOOKUP(VendasSem4[[#This Row],[Região de Entrega]],cálculos!$B$5:$C$9,2,0)),0)</f>
        <v>15</v>
      </c>
      <c r="L511" s="6">
        <f>(VendasSem4[[#This Row],[Subtotal]]*(1-VendasSem4[[#This Row],[Desconto]])+VendasSem4[[#This Row],[Valor de Entrega]])</f>
        <v>94.5</v>
      </c>
      <c r="M511" s="6">
        <f>IF(VendasSem4[[#This Row],[Id da Venda]]=B512,"",SUMIF(VendasSem4[Id da Venda],VendasSem4[[#This Row],[Id da Venda]],VendasSem4[Total]))</f>
        <v>126.9</v>
      </c>
    </row>
    <row r="512" spans="2:13" x14ac:dyDescent="0.25">
      <c r="B512">
        <v>97</v>
      </c>
      <c r="C512" s="7">
        <v>45192</v>
      </c>
      <c r="D512" t="s">
        <v>35</v>
      </c>
      <c r="E512" t="str">
        <f>IFERROR(VLOOKUP(VendasSem4[[#This Row],[Produto]],cálculos!$I$3:$L$50,4,0),"")</f>
        <v>Unidade</v>
      </c>
      <c r="F512">
        <v>2</v>
      </c>
      <c r="G512" s="6">
        <f>IFERROR(VLOOKUP(VendasSem4[[#This Row],[Produto]],cálculos!$I$3:$L$50,3,0),0)</f>
        <v>2.99</v>
      </c>
      <c r="H512" s="6">
        <f>IFERROR(VendasSem4[[#This Row],[Quantidade]]*VendasSem4[[#This Row],[Preço Unitário]],0)</f>
        <v>5.98</v>
      </c>
      <c r="I512" s="11"/>
      <c r="J512" t="s">
        <v>112</v>
      </c>
      <c r="K512" s="6">
        <f>IFERROR(IF(VendasSem4[[#This Row],[Id da Venda]]=B513,0,VLOOKUP(VendasSem4[[#This Row],[Região de Entrega]],cálculos!$B$5:$C$9,2,0)),0)</f>
        <v>0</v>
      </c>
      <c r="L512" s="6">
        <f>(VendasSem4[[#This Row],[Subtotal]]*(1-VendasSem4[[#This Row],[Desconto]])+VendasSem4[[#This Row],[Valor de Entrega]])</f>
        <v>5.98</v>
      </c>
      <c r="M512" s="6" t="str">
        <f>IF(VendasSem4[[#This Row],[Id da Venda]]=B513,"",SUMIF(VendasSem4[Id da Venda],VendasSem4[[#This Row],[Id da Venda]],VendasSem4[Total]))</f>
        <v/>
      </c>
    </row>
    <row r="513" spans="2:13" x14ac:dyDescent="0.25">
      <c r="B513">
        <v>97</v>
      </c>
      <c r="C513" s="7">
        <v>45192</v>
      </c>
      <c r="D513" t="s">
        <v>42</v>
      </c>
      <c r="E513" t="str">
        <f>IFERROR(VLOOKUP(VendasSem4[[#This Row],[Produto]],cálculos!$I$3:$L$50,4,0),"")</f>
        <v>Kg</v>
      </c>
      <c r="F513">
        <v>1</v>
      </c>
      <c r="G513" s="6">
        <f>IFERROR(VLOOKUP(VendasSem4[[#This Row],[Produto]],cálculos!$I$3:$L$50,3,0),0)</f>
        <v>3.99</v>
      </c>
      <c r="H513" s="6">
        <f>IFERROR(VendasSem4[[#This Row],[Quantidade]]*VendasSem4[[#This Row],[Preço Unitário]],0)</f>
        <v>3.99</v>
      </c>
      <c r="I513" s="11"/>
      <c r="J513" t="s">
        <v>112</v>
      </c>
      <c r="K513" s="6">
        <f>IFERROR(IF(VendasSem4[[#This Row],[Id da Venda]]=B514,0,VLOOKUP(VendasSem4[[#This Row],[Região de Entrega]],cálculos!$B$5:$C$9,2,0)),0)</f>
        <v>0</v>
      </c>
      <c r="L513" s="6">
        <f>(VendasSem4[[#This Row],[Subtotal]]*(1-VendasSem4[[#This Row],[Desconto]])+VendasSem4[[#This Row],[Valor de Entrega]])</f>
        <v>3.99</v>
      </c>
      <c r="M513" s="6" t="str">
        <f>IF(VendasSem4[[#This Row],[Id da Venda]]=B514,"",SUMIF(VendasSem4[Id da Venda],VendasSem4[[#This Row],[Id da Venda]],VendasSem4[Total]))</f>
        <v/>
      </c>
    </row>
    <row r="514" spans="2:13" x14ac:dyDescent="0.25">
      <c r="B514">
        <v>97</v>
      </c>
      <c r="C514" s="7">
        <v>45192</v>
      </c>
      <c r="D514" t="s">
        <v>33</v>
      </c>
      <c r="E514" t="str">
        <f>IFERROR(VLOOKUP(VendasSem4[[#This Row],[Produto]],cálculos!$I$3:$L$50,4,0),"")</f>
        <v>Kg</v>
      </c>
      <c r="F514">
        <v>4</v>
      </c>
      <c r="G514" s="6">
        <f>IFERROR(VLOOKUP(VendasSem4[[#This Row],[Produto]],cálculos!$I$3:$L$50,3,0),0)</f>
        <v>4.28</v>
      </c>
      <c r="H514" s="6">
        <f>IFERROR(VendasSem4[[#This Row],[Quantidade]]*VendasSem4[[#This Row],[Preço Unitário]],0)</f>
        <v>17.12</v>
      </c>
      <c r="I514" s="11"/>
      <c r="J514" t="s">
        <v>112</v>
      </c>
      <c r="K514" s="6">
        <f>IFERROR(IF(VendasSem4[[#This Row],[Id da Venda]]=B515,0,VLOOKUP(VendasSem4[[#This Row],[Região de Entrega]],cálculos!$B$5:$C$9,2,0)),0)</f>
        <v>7</v>
      </c>
      <c r="L514" s="6">
        <f>(VendasSem4[[#This Row],[Subtotal]]*(1-VendasSem4[[#This Row],[Desconto]])+VendasSem4[[#This Row],[Valor de Entrega]])</f>
        <v>24.12</v>
      </c>
      <c r="M514" s="6">
        <f>IF(VendasSem4[[#This Row],[Id da Venda]]=B515,"",SUMIF(VendasSem4[Id da Venda],VendasSem4[[#This Row],[Id da Venda]],VendasSem4[Total]))</f>
        <v>34.090000000000003</v>
      </c>
    </row>
    <row r="515" spans="2:13" x14ac:dyDescent="0.25">
      <c r="B515">
        <v>98</v>
      </c>
      <c r="C515" s="7">
        <v>45192</v>
      </c>
      <c r="D515" t="s">
        <v>39</v>
      </c>
      <c r="E515" t="str">
        <f>IFERROR(VLOOKUP(VendasSem4[[#This Row],[Produto]],cálculos!$I$3:$L$50,4,0),"")</f>
        <v>Kg</v>
      </c>
      <c r="F515">
        <v>3</v>
      </c>
      <c r="G515" s="6">
        <f>IFERROR(VLOOKUP(VendasSem4[[#This Row],[Produto]],cálculos!$I$3:$L$50,3,0),0)</f>
        <v>25.9</v>
      </c>
      <c r="H515" s="6">
        <f>IFERROR(VendasSem4[[#This Row],[Quantidade]]*VendasSem4[[#This Row],[Preço Unitário]],0)</f>
        <v>77.699999999999989</v>
      </c>
      <c r="I515" s="11"/>
      <c r="J515" t="s">
        <v>109</v>
      </c>
      <c r="K515" s="6">
        <f>IFERROR(IF(VendasSem4[[#This Row],[Id da Venda]]=B516,0,VLOOKUP(VendasSem4[[#This Row],[Região de Entrega]],cálculos!$B$5:$C$9,2,0)),0)</f>
        <v>0</v>
      </c>
      <c r="L515" s="6">
        <f>(VendasSem4[[#This Row],[Subtotal]]*(1-VendasSem4[[#This Row],[Desconto]])+VendasSem4[[#This Row],[Valor de Entrega]])</f>
        <v>77.699999999999989</v>
      </c>
      <c r="M515" s="6">
        <f>IF(VendasSem4[[#This Row],[Id da Venda]]=B516,"",SUMIF(VendasSem4[Id da Venda],VendasSem4[[#This Row],[Id da Venda]],VendasSem4[Total]))</f>
        <v>77.699999999999989</v>
      </c>
    </row>
    <row r="516" spans="2:13" x14ac:dyDescent="0.25">
      <c r="B516">
        <v>99</v>
      </c>
      <c r="C516" s="7">
        <v>45192</v>
      </c>
      <c r="D516" t="s">
        <v>135</v>
      </c>
      <c r="E516" t="str">
        <f>IFERROR(VLOOKUP(VendasSem4[[#This Row],[Produto]],cálculos!$I$3:$L$50,4,0),"")</f>
        <v>Kg</v>
      </c>
      <c r="F516">
        <v>1</v>
      </c>
      <c r="G516" s="6">
        <f>IFERROR(VLOOKUP(VendasSem4[[#This Row],[Produto]],cálculos!$I$3:$L$50,3,0),0)</f>
        <v>5</v>
      </c>
      <c r="H516" s="6">
        <f>IFERROR(VendasSem4[[#This Row],[Quantidade]]*VendasSem4[[#This Row],[Preço Unitário]],0)</f>
        <v>5</v>
      </c>
      <c r="I516" s="11"/>
      <c r="J516" t="s">
        <v>109</v>
      </c>
      <c r="K516" s="6">
        <f>IFERROR(IF(VendasSem4[[#This Row],[Id da Venda]]=B517,0,VLOOKUP(VendasSem4[[#This Row],[Região de Entrega]],cálculos!$B$5:$C$9,2,0)),0)</f>
        <v>0</v>
      </c>
      <c r="L516" s="6">
        <f>(VendasSem4[[#This Row],[Subtotal]]*(1-VendasSem4[[#This Row],[Desconto]])+VendasSem4[[#This Row],[Valor de Entrega]])</f>
        <v>5</v>
      </c>
      <c r="M516" s="6" t="str">
        <f>IF(VendasSem4[[#This Row],[Id da Venda]]=B517,"",SUMIF(VendasSem4[Id da Venda],VendasSem4[[#This Row],[Id da Venda]],VendasSem4[Total]))</f>
        <v/>
      </c>
    </row>
    <row r="517" spans="2:13" x14ac:dyDescent="0.25">
      <c r="B517">
        <v>99</v>
      </c>
      <c r="C517" s="7">
        <v>45192</v>
      </c>
      <c r="D517" t="s">
        <v>119</v>
      </c>
      <c r="E517" t="str">
        <f>IFERROR(VLOOKUP(VendasSem4[[#This Row],[Produto]],cálculos!$I$3:$L$50,4,0),"")</f>
        <v>Kg</v>
      </c>
      <c r="F517">
        <v>2</v>
      </c>
      <c r="G517" s="6">
        <f>IFERROR(VLOOKUP(VendasSem4[[#This Row],[Produto]],cálculos!$I$3:$L$50,3,0),0)</f>
        <v>6.8</v>
      </c>
      <c r="H517" s="6">
        <f>IFERROR(VendasSem4[[#This Row],[Quantidade]]*VendasSem4[[#This Row],[Preço Unitário]],0)</f>
        <v>13.6</v>
      </c>
      <c r="I517" s="11"/>
      <c r="J517" t="s">
        <v>109</v>
      </c>
      <c r="K517" s="6">
        <f>IFERROR(IF(VendasSem4[[#This Row],[Id da Venda]]=B518,0,VLOOKUP(VendasSem4[[#This Row],[Região de Entrega]],cálculos!$B$5:$C$9,2,0)),0)</f>
        <v>0</v>
      </c>
      <c r="L517" s="6">
        <f>(VendasSem4[[#This Row],[Subtotal]]*(1-VendasSem4[[#This Row],[Desconto]])+VendasSem4[[#This Row],[Valor de Entrega]])</f>
        <v>13.6</v>
      </c>
      <c r="M517" s="6" t="str">
        <f>IF(VendasSem4[[#This Row],[Id da Venda]]=B518,"",SUMIF(VendasSem4[Id da Venda],VendasSem4[[#This Row],[Id da Venda]],VendasSem4[Total]))</f>
        <v/>
      </c>
    </row>
    <row r="518" spans="2:13" x14ac:dyDescent="0.25">
      <c r="B518">
        <v>99</v>
      </c>
      <c r="C518" s="7">
        <v>45192</v>
      </c>
      <c r="D518" t="s">
        <v>129</v>
      </c>
      <c r="E518" t="str">
        <f>IFERROR(VLOOKUP(VendasSem4[[#This Row],[Produto]],cálculos!$I$3:$L$50,4,0),"")</f>
        <v>Unidade</v>
      </c>
      <c r="F518">
        <v>1</v>
      </c>
      <c r="G518" s="6">
        <f>IFERROR(VLOOKUP(VendasSem4[[#This Row],[Produto]],cálculos!$I$3:$L$50,3,0),0)</f>
        <v>18.899999999999999</v>
      </c>
      <c r="H518" s="6">
        <f>IFERROR(VendasSem4[[#This Row],[Quantidade]]*VendasSem4[[#This Row],[Preço Unitário]],0)</f>
        <v>18.899999999999999</v>
      </c>
      <c r="I518" s="11"/>
      <c r="J518" t="s">
        <v>109</v>
      </c>
      <c r="K518" s="6">
        <f>IFERROR(IF(VendasSem4[[#This Row],[Id da Venda]]=B519,0,VLOOKUP(VendasSem4[[#This Row],[Região de Entrega]],cálculos!$B$5:$C$9,2,0)),0)</f>
        <v>0</v>
      </c>
      <c r="L518" s="6">
        <f>(VendasSem4[[#This Row],[Subtotal]]*(1-VendasSem4[[#This Row],[Desconto]])+VendasSem4[[#This Row],[Valor de Entrega]])</f>
        <v>18.899999999999999</v>
      </c>
      <c r="M518" s="6" t="str">
        <f>IF(VendasSem4[[#This Row],[Id da Venda]]=B519,"",SUMIF(VendasSem4[Id da Venda],VendasSem4[[#This Row],[Id da Venda]],VendasSem4[Total]))</f>
        <v/>
      </c>
    </row>
    <row r="519" spans="2:13" x14ac:dyDescent="0.25">
      <c r="B519">
        <v>99</v>
      </c>
      <c r="C519" s="7">
        <v>45192</v>
      </c>
      <c r="D519" t="s">
        <v>134</v>
      </c>
      <c r="E519" t="str">
        <f>IFERROR(VLOOKUP(VendasSem4[[#This Row],[Produto]],cálculos!$I$3:$L$50,4,0),"")</f>
        <v>Kg</v>
      </c>
      <c r="F519">
        <v>2</v>
      </c>
      <c r="G519" s="6">
        <f>IFERROR(VLOOKUP(VendasSem4[[#This Row],[Produto]],cálculos!$I$3:$L$50,3,0),0)</f>
        <v>24</v>
      </c>
      <c r="H519" s="6">
        <f>IFERROR(VendasSem4[[#This Row],[Quantidade]]*VendasSem4[[#This Row],[Preço Unitário]],0)</f>
        <v>48</v>
      </c>
      <c r="I519" s="11"/>
      <c r="J519" t="s">
        <v>109</v>
      </c>
      <c r="K519" s="6">
        <f>IFERROR(IF(VendasSem4[[#This Row],[Id da Venda]]=B520,0,VLOOKUP(VendasSem4[[#This Row],[Região de Entrega]],cálculos!$B$5:$C$9,2,0)),0)</f>
        <v>0</v>
      </c>
      <c r="L519" s="6">
        <f>(VendasSem4[[#This Row],[Subtotal]]*(1-VendasSem4[[#This Row],[Desconto]])+VendasSem4[[#This Row],[Valor de Entrega]])</f>
        <v>48</v>
      </c>
      <c r="M519" s="6" t="str">
        <f>IF(VendasSem4[[#This Row],[Id da Venda]]=B520,"",SUMIF(VendasSem4[Id da Venda],VendasSem4[[#This Row],[Id da Venda]],VendasSem4[Total]))</f>
        <v/>
      </c>
    </row>
    <row r="520" spans="2:13" x14ac:dyDescent="0.25">
      <c r="B520">
        <v>99</v>
      </c>
      <c r="C520" s="7">
        <v>45192</v>
      </c>
      <c r="D520" t="s">
        <v>37</v>
      </c>
      <c r="E520" t="str">
        <f>IFERROR(VLOOKUP(VendasSem4[[#This Row],[Produto]],cálculos!$I$3:$L$50,4,0),"")</f>
        <v>Kg</v>
      </c>
      <c r="F520">
        <v>5</v>
      </c>
      <c r="G520" s="6">
        <f>IFERROR(VLOOKUP(VendasSem4[[#This Row],[Produto]],cálculos!$I$3:$L$50,3,0),0)</f>
        <v>6.98</v>
      </c>
      <c r="H520" s="6">
        <f>IFERROR(VendasSem4[[#This Row],[Quantidade]]*VendasSem4[[#This Row],[Preço Unitário]],0)</f>
        <v>34.900000000000006</v>
      </c>
      <c r="I520" s="11"/>
      <c r="J520" t="s">
        <v>109</v>
      </c>
      <c r="K520" s="6">
        <f>IFERROR(IF(VendasSem4[[#This Row],[Id da Venda]]=B521,0,VLOOKUP(VendasSem4[[#This Row],[Região de Entrega]],cálculos!$B$5:$C$9,2,0)),0)</f>
        <v>0</v>
      </c>
      <c r="L520" s="6">
        <f>(VendasSem4[[#This Row],[Subtotal]]*(1-VendasSem4[[#This Row],[Desconto]])+VendasSem4[[#This Row],[Valor de Entrega]])</f>
        <v>34.900000000000006</v>
      </c>
      <c r="M520" s="6" t="str">
        <f>IF(VendasSem4[[#This Row],[Id da Venda]]=B521,"",SUMIF(VendasSem4[Id da Venda],VendasSem4[[#This Row],[Id da Venda]],VendasSem4[Total]))</f>
        <v/>
      </c>
    </row>
    <row r="521" spans="2:13" x14ac:dyDescent="0.25">
      <c r="B521">
        <v>99</v>
      </c>
      <c r="C521" s="7">
        <v>45192</v>
      </c>
      <c r="D521" t="s">
        <v>71</v>
      </c>
      <c r="E521" t="str">
        <f>IFERROR(VLOOKUP(VendasSem4[[#This Row],[Produto]],cálculos!$I$3:$L$50,4,0),"")</f>
        <v>Unidade</v>
      </c>
      <c r="F521">
        <v>1</v>
      </c>
      <c r="G521" s="6">
        <f>IFERROR(VLOOKUP(VendasSem4[[#This Row],[Produto]],cálculos!$I$3:$L$50,3,0),0)</f>
        <v>2.89</v>
      </c>
      <c r="H521" s="6">
        <f>IFERROR(VendasSem4[[#This Row],[Quantidade]]*VendasSem4[[#This Row],[Preço Unitário]],0)</f>
        <v>2.89</v>
      </c>
      <c r="I521" s="11"/>
      <c r="J521" t="s">
        <v>109</v>
      </c>
      <c r="K521" s="6">
        <f>IFERROR(IF(VendasSem4[[#This Row],[Id da Venda]]=B522,0,VLOOKUP(VendasSem4[[#This Row],[Região de Entrega]],cálculos!$B$5:$C$9,2,0)),0)</f>
        <v>0</v>
      </c>
      <c r="L521" s="6">
        <f>(VendasSem4[[#This Row],[Subtotal]]*(1-VendasSem4[[#This Row],[Desconto]])+VendasSem4[[#This Row],[Valor de Entrega]])</f>
        <v>2.89</v>
      </c>
      <c r="M521" s="6" t="str">
        <f>IF(VendasSem4[[#This Row],[Id da Venda]]=B522,"",SUMIF(VendasSem4[Id da Venda],VendasSem4[[#This Row],[Id da Venda]],VendasSem4[Total]))</f>
        <v/>
      </c>
    </row>
    <row r="522" spans="2:13" x14ac:dyDescent="0.25">
      <c r="B522">
        <v>99</v>
      </c>
      <c r="C522" s="7">
        <v>45192</v>
      </c>
      <c r="D522" t="s">
        <v>130</v>
      </c>
      <c r="E522" t="str">
        <f>IFERROR(VLOOKUP(VendasSem4[[#This Row],[Produto]],cálculos!$I$3:$L$50,4,0),"")</f>
        <v>Kg</v>
      </c>
      <c r="F522">
        <v>1</v>
      </c>
      <c r="G522" s="6">
        <f>IFERROR(VLOOKUP(VendasSem4[[#This Row],[Produto]],cálculos!$I$3:$L$50,3,0),0)</f>
        <v>2.8</v>
      </c>
      <c r="H522" s="6">
        <f>IFERROR(VendasSem4[[#This Row],[Quantidade]]*VendasSem4[[#This Row],[Preço Unitário]],0)</f>
        <v>2.8</v>
      </c>
      <c r="I522" s="11"/>
      <c r="J522" t="s">
        <v>109</v>
      </c>
      <c r="K522" s="6">
        <f>IFERROR(IF(VendasSem4[[#This Row],[Id da Venda]]=B523,0,VLOOKUP(VendasSem4[[#This Row],[Região de Entrega]],cálculos!$B$5:$C$9,2,0)),0)</f>
        <v>0</v>
      </c>
      <c r="L522" s="6">
        <f>(VendasSem4[[#This Row],[Subtotal]]*(1-VendasSem4[[#This Row],[Desconto]])+VendasSem4[[#This Row],[Valor de Entrega]])</f>
        <v>2.8</v>
      </c>
      <c r="M522" s="6" t="str">
        <f>IF(VendasSem4[[#This Row],[Id da Venda]]=B523,"",SUMIF(VendasSem4[Id da Venda],VendasSem4[[#This Row],[Id da Venda]],VendasSem4[Total]))</f>
        <v/>
      </c>
    </row>
    <row r="523" spans="2:13" x14ac:dyDescent="0.25">
      <c r="B523">
        <v>99</v>
      </c>
      <c r="C523" s="7">
        <v>45192</v>
      </c>
      <c r="D523" t="s">
        <v>35</v>
      </c>
      <c r="E523" t="str">
        <f>IFERROR(VLOOKUP(VendasSem4[[#This Row],[Produto]],cálculos!$I$3:$L$50,4,0),"")</f>
        <v>Unidade</v>
      </c>
      <c r="F523">
        <v>1</v>
      </c>
      <c r="G523" s="6">
        <f>IFERROR(VLOOKUP(VendasSem4[[#This Row],[Produto]],cálculos!$I$3:$L$50,3,0),0)</f>
        <v>2.99</v>
      </c>
      <c r="H523" s="6">
        <f>IFERROR(VendasSem4[[#This Row],[Quantidade]]*VendasSem4[[#This Row],[Preço Unitário]],0)</f>
        <v>2.99</v>
      </c>
      <c r="I523" s="11"/>
      <c r="J523" t="s">
        <v>109</v>
      </c>
      <c r="K523" s="6">
        <f>IFERROR(IF(VendasSem4[[#This Row],[Id da Venda]]=B524,0,VLOOKUP(VendasSem4[[#This Row],[Região de Entrega]],cálculos!$B$5:$C$9,2,0)),0)</f>
        <v>0</v>
      </c>
      <c r="L523" s="6">
        <f>(VendasSem4[[#This Row],[Subtotal]]*(1-VendasSem4[[#This Row],[Desconto]])+VendasSem4[[#This Row],[Valor de Entrega]])</f>
        <v>2.99</v>
      </c>
      <c r="M523" s="6" t="str">
        <f>IF(VendasSem4[[#This Row],[Id da Venda]]=B524,"",SUMIF(VendasSem4[Id da Venda],VendasSem4[[#This Row],[Id da Venda]],VendasSem4[Total]))</f>
        <v/>
      </c>
    </row>
    <row r="524" spans="2:13" x14ac:dyDescent="0.25">
      <c r="B524">
        <v>99</v>
      </c>
      <c r="C524" s="7">
        <v>45192</v>
      </c>
      <c r="D524" t="s">
        <v>32</v>
      </c>
      <c r="E524" t="str">
        <f>IFERROR(VLOOKUP(VendasSem4[[#This Row],[Produto]],cálculos!$I$3:$L$50,4,0),"")</f>
        <v>Kg</v>
      </c>
      <c r="F524">
        <v>5</v>
      </c>
      <c r="G524" s="6">
        <f>IFERROR(VLOOKUP(VendasSem4[[#This Row],[Produto]],cálculos!$I$3:$L$50,3,0),0)</f>
        <v>2.4900000000000002</v>
      </c>
      <c r="H524" s="6">
        <f>IFERROR(VendasSem4[[#This Row],[Quantidade]]*VendasSem4[[#This Row],[Preço Unitário]],0)</f>
        <v>12.450000000000001</v>
      </c>
      <c r="I524" s="11"/>
      <c r="J524" t="s">
        <v>109</v>
      </c>
      <c r="K524" s="6">
        <f>IFERROR(IF(VendasSem4[[#This Row],[Id da Venda]]=B525,0,VLOOKUP(VendasSem4[[#This Row],[Região de Entrega]],cálculos!$B$5:$C$9,2,0)),0)</f>
        <v>0</v>
      </c>
      <c r="L524" s="6">
        <f>(VendasSem4[[#This Row],[Subtotal]]*(1-VendasSem4[[#This Row],[Desconto]])+VendasSem4[[#This Row],[Valor de Entrega]])</f>
        <v>12.450000000000001</v>
      </c>
      <c r="M524" s="6" t="str">
        <f>IF(VendasSem4[[#This Row],[Id da Venda]]=B525,"",SUMIF(VendasSem4[Id da Venda],VendasSem4[[#This Row],[Id da Venda]],VendasSem4[Total]))</f>
        <v/>
      </c>
    </row>
    <row r="525" spans="2:13" x14ac:dyDescent="0.25">
      <c r="B525">
        <v>99</v>
      </c>
      <c r="C525" s="7">
        <v>45192</v>
      </c>
      <c r="D525" t="s">
        <v>34</v>
      </c>
      <c r="E525" t="str">
        <f>IFERROR(VLOOKUP(VendasSem4[[#This Row],[Produto]],cálculos!$I$3:$L$50,4,0),"")</f>
        <v>Kg</v>
      </c>
      <c r="F525">
        <v>7</v>
      </c>
      <c r="G525" s="6">
        <f>IFERROR(VLOOKUP(VendasSem4[[#This Row],[Produto]],cálculos!$I$3:$L$50,3,0),0)</f>
        <v>5.82</v>
      </c>
      <c r="H525" s="6">
        <f>IFERROR(VendasSem4[[#This Row],[Quantidade]]*VendasSem4[[#This Row],[Preço Unitário]],0)</f>
        <v>40.74</v>
      </c>
      <c r="I525" s="11"/>
      <c r="J525" t="s">
        <v>109</v>
      </c>
      <c r="K525" s="6">
        <f>IFERROR(IF(VendasSem4[[#This Row],[Id da Venda]]=B526,0,VLOOKUP(VendasSem4[[#This Row],[Região de Entrega]],cálculos!$B$5:$C$9,2,0)),0)</f>
        <v>0</v>
      </c>
      <c r="L525" s="6">
        <f>(VendasSem4[[#This Row],[Subtotal]]*(1-VendasSem4[[#This Row],[Desconto]])+VendasSem4[[#This Row],[Valor de Entrega]])</f>
        <v>40.74</v>
      </c>
      <c r="M525" s="6" t="str">
        <f>IF(VendasSem4[[#This Row],[Id da Venda]]=B526,"",SUMIF(VendasSem4[Id da Venda],VendasSem4[[#This Row],[Id da Venda]],VendasSem4[Total]))</f>
        <v/>
      </c>
    </row>
    <row r="526" spans="2:13" x14ac:dyDescent="0.25">
      <c r="B526">
        <v>99</v>
      </c>
      <c r="C526" s="7">
        <v>45192</v>
      </c>
      <c r="D526" t="s">
        <v>131</v>
      </c>
      <c r="E526" t="str">
        <f>IFERROR(VLOOKUP(VendasSem4[[#This Row],[Produto]],cálculos!$I$3:$L$50,4,0),"")</f>
        <v>Kg</v>
      </c>
      <c r="F526">
        <v>1</v>
      </c>
      <c r="G526" s="6">
        <f>IFERROR(VLOOKUP(VendasSem4[[#This Row],[Produto]],cálculos!$I$3:$L$50,3,0),0)</f>
        <v>3</v>
      </c>
      <c r="H526" s="6">
        <f>IFERROR(VendasSem4[[#This Row],[Quantidade]]*VendasSem4[[#This Row],[Preço Unitário]],0)</f>
        <v>3</v>
      </c>
      <c r="I526" s="11"/>
      <c r="J526" t="s">
        <v>109</v>
      </c>
      <c r="K526" s="6">
        <f>IFERROR(IF(VendasSem4[[#This Row],[Id da Venda]]=B527,0,VLOOKUP(VendasSem4[[#This Row],[Região de Entrega]],cálculos!$B$5:$C$9,2,0)),0)</f>
        <v>0</v>
      </c>
      <c r="L526" s="6">
        <f>(VendasSem4[[#This Row],[Subtotal]]*(1-VendasSem4[[#This Row],[Desconto]])+VendasSem4[[#This Row],[Valor de Entrega]])</f>
        <v>3</v>
      </c>
      <c r="M526" s="6" t="str">
        <f>IF(VendasSem4[[#This Row],[Id da Venda]]=B527,"",SUMIF(VendasSem4[Id da Venda],VendasSem4[[#This Row],[Id da Venda]],VendasSem4[Total]))</f>
        <v/>
      </c>
    </row>
    <row r="527" spans="2:13" x14ac:dyDescent="0.25">
      <c r="B527">
        <v>99</v>
      </c>
      <c r="C527" s="7">
        <v>45192</v>
      </c>
      <c r="D527" t="s">
        <v>42</v>
      </c>
      <c r="E527" t="str">
        <f>IFERROR(VLOOKUP(VendasSem4[[#This Row],[Produto]],cálculos!$I$3:$L$50,4,0),"")</f>
        <v>Kg</v>
      </c>
      <c r="F527">
        <v>2</v>
      </c>
      <c r="G527" s="6">
        <f>IFERROR(VLOOKUP(VendasSem4[[#This Row],[Produto]],cálculos!$I$3:$L$50,3,0),0)</f>
        <v>3.99</v>
      </c>
      <c r="H527" s="6">
        <f>IFERROR(VendasSem4[[#This Row],[Quantidade]]*VendasSem4[[#This Row],[Preço Unitário]],0)</f>
        <v>7.98</v>
      </c>
      <c r="I527" s="11"/>
      <c r="J527" t="s">
        <v>109</v>
      </c>
      <c r="K527" s="6">
        <f>IFERROR(IF(VendasSem4[[#This Row],[Id da Venda]]=B528,0,VLOOKUP(VendasSem4[[#This Row],[Região de Entrega]],cálculos!$B$5:$C$9,2,0)),0)</f>
        <v>0</v>
      </c>
      <c r="L527" s="6">
        <f>(VendasSem4[[#This Row],[Subtotal]]*(1-VendasSem4[[#This Row],[Desconto]])+VendasSem4[[#This Row],[Valor de Entrega]])</f>
        <v>7.98</v>
      </c>
      <c r="M527" s="6" t="str">
        <f>IF(VendasSem4[[#This Row],[Id da Venda]]=B528,"",SUMIF(VendasSem4[Id da Venda],VendasSem4[[#This Row],[Id da Venda]],VendasSem4[Total]))</f>
        <v/>
      </c>
    </row>
    <row r="528" spans="2:13" x14ac:dyDescent="0.25">
      <c r="B528">
        <v>99</v>
      </c>
      <c r="C528" s="7">
        <v>45192</v>
      </c>
      <c r="D528" t="s">
        <v>39</v>
      </c>
      <c r="E528" t="str">
        <f>IFERROR(VLOOKUP(VendasSem4[[#This Row],[Produto]],cálculos!$I$3:$L$50,4,0),"")</f>
        <v>Kg</v>
      </c>
      <c r="F528">
        <v>2</v>
      </c>
      <c r="G528" s="6">
        <f>IFERROR(VLOOKUP(VendasSem4[[#This Row],[Produto]],cálculos!$I$3:$L$50,3,0),0)</f>
        <v>25.9</v>
      </c>
      <c r="H528" s="6">
        <f>IFERROR(VendasSem4[[#This Row],[Quantidade]]*VendasSem4[[#This Row],[Preço Unitário]],0)</f>
        <v>51.8</v>
      </c>
      <c r="I528" s="11"/>
      <c r="J528" t="s">
        <v>109</v>
      </c>
      <c r="K528" s="6">
        <f>IFERROR(IF(VendasSem4[[#This Row],[Id da Venda]]=B529,0,VLOOKUP(VendasSem4[[#This Row],[Região de Entrega]],cálculos!$B$5:$C$9,2,0)),0)</f>
        <v>0</v>
      </c>
      <c r="L528" s="6">
        <f>(VendasSem4[[#This Row],[Subtotal]]*(1-VendasSem4[[#This Row],[Desconto]])+VendasSem4[[#This Row],[Valor de Entrega]])</f>
        <v>51.8</v>
      </c>
      <c r="M528" s="6" t="str">
        <f>IF(VendasSem4[[#This Row],[Id da Venda]]=B529,"",SUMIF(VendasSem4[Id da Venda],VendasSem4[[#This Row],[Id da Venda]],VendasSem4[Total]))</f>
        <v/>
      </c>
    </row>
    <row r="529" spans="2:13" x14ac:dyDescent="0.25">
      <c r="B529">
        <v>99</v>
      </c>
      <c r="C529" s="7">
        <v>45192</v>
      </c>
      <c r="D529" t="s">
        <v>36</v>
      </c>
      <c r="E529" t="str">
        <f>IFERROR(VLOOKUP(VendasSem4[[#This Row],[Produto]],cálculos!$I$3:$L$50,4,0),"")</f>
        <v>Kg</v>
      </c>
      <c r="F529">
        <v>5</v>
      </c>
      <c r="G529" s="6">
        <f>IFERROR(VLOOKUP(VendasSem4[[#This Row],[Produto]],cálculos!$I$3:$L$50,3,0),0)</f>
        <v>15.9</v>
      </c>
      <c r="H529" s="6">
        <f>IFERROR(VendasSem4[[#This Row],[Quantidade]]*VendasSem4[[#This Row],[Preço Unitário]],0)</f>
        <v>79.5</v>
      </c>
      <c r="I529" s="11"/>
      <c r="J529" t="s">
        <v>109</v>
      </c>
      <c r="K529" s="6">
        <f>IFERROR(IF(VendasSem4[[#This Row],[Id da Venda]]=B530,0,VLOOKUP(VendasSem4[[#This Row],[Região de Entrega]],cálculos!$B$5:$C$9,2,0)),0)</f>
        <v>0</v>
      </c>
      <c r="L529" s="6">
        <f>(VendasSem4[[#This Row],[Subtotal]]*(1-VendasSem4[[#This Row],[Desconto]])+VendasSem4[[#This Row],[Valor de Entrega]])</f>
        <v>79.5</v>
      </c>
      <c r="M529" s="6" t="str">
        <f>IF(VendasSem4[[#This Row],[Id da Venda]]=B530,"",SUMIF(VendasSem4[Id da Venda],VendasSem4[[#This Row],[Id da Venda]],VendasSem4[Total]))</f>
        <v/>
      </c>
    </row>
    <row r="530" spans="2:13" x14ac:dyDescent="0.25">
      <c r="B530">
        <v>99</v>
      </c>
      <c r="C530" s="7">
        <v>45192</v>
      </c>
      <c r="D530" t="s">
        <v>121</v>
      </c>
      <c r="E530" t="str">
        <f>IFERROR(VLOOKUP(VendasSem4[[#This Row],[Produto]],cálculos!$I$3:$L$50,4,0),"")</f>
        <v>Kg</v>
      </c>
      <c r="F530">
        <v>1</v>
      </c>
      <c r="G530" s="6">
        <f>IFERROR(VLOOKUP(VendasSem4[[#This Row],[Produto]],cálculos!$I$3:$L$50,3,0),0)</f>
        <v>12</v>
      </c>
      <c r="H530" s="6">
        <f>IFERROR(VendasSem4[[#This Row],[Quantidade]]*VendasSem4[[#This Row],[Preço Unitário]],0)</f>
        <v>12</v>
      </c>
      <c r="I530" s="11"/>
      <c r="J530" t="s">
        <v>109</v>
      </c>
      <c r="K530" s="6">
        <f>IFERROR(IF(VendasSem4[[#This Row],[Id da Venda]]=B531,0,VLOOKUP(VendasSem4[[#This Row],[Região de Entrega]],cálculos!$B$5:$C$9,2,0)),0)</f>
        <v>0</v>
      </c>
      <c r="L530" s="6">
        <f>(VendasSem4[[#This Row],[Subtotal]]*(1-VendasSem4[[#This Row],[Desconto]])+VendasSem4[[#This Row],[Valor de Entrega]])</f>
        <v>12</v>
      </c>
      <c r="M530" s="6" t="str">
        <f>IF(VendasSem4[[#This Row],[Id da Venda]]=B531,"",SUMIF(VendasSem4[Id da Venda],VendasSem4[[#This Row],[Id da Venda]],VendasSem4[Total]))</f>
        <v/>
      </c>
    </row>
    <row r="531" spans="2:13" x14ac:dyDescent="0.25">
      <c r="B531">
        <v>99</v>
      </c>
      <c r="C531" s="7">
        <v>45192</v>
      </c>
      <c r="D531" t="s">
        <v>127</v>
      </c>
      <c r="E531" t="str">
        <f>IFERROR(VLOOKUP(VendasSem4[[#This Row],[Produto]],cálculos!$I$3:$L$50,4,0),"")</f>
        <v>Kg</v>
      </c>
      <c r="F531">
        <v>2</v>
      </c>
      <c r="G531" s="6">
        <f>IFERROR(VLOOKUP(VendasSem4[[#This Row],[Produto]],cálculos!$I$3:$L$50,3,0),0)</f>
        <v>6.9</v>
      </c>
      <c r="H531" s="6">
        <f>IFERROR(VendasSem4[[#This Row],[Quantidade]]*VendasSem4[[#This Row],[Preço Unitário]],0)</f>
        <v>13.8</v>
      </c>
      <c r="I531" s="11"/>
      <c r="J531" t="s">
        <v>109</v>
      </c>
      <c r="K531" s="6">
        <f>IFERROR(IF(VendasSem4[[#This Row],[Id da Venda]]=B532,0,VLOOKUP(VendasSem4[[#This Row],[Região de Entrega]],cálculos!$B$5:$C$9,2,0)),0)</f>
        <v>0</v>
      </c>
      <c r="L531" s="6">
        <f>(VendasSem4[[#This Row],[Subtotal]]*(1-VendasSem4[[#This Row],[Desconto]])+VendasSem4[[#This Row],[Valor de Entrega]])</f>
        <v>13.8</v>
      </c>
      <c r="M531" s="6" t="str">
        <f>IF(VendasSem4[[#This Row],[Id da Venda]]=B532,"",SUMIF(VendasSem4[Id da Venda],VendasSem4[[#This Row],[Id da Venda]],VendasSem4[Total]))</f>
        <v/>
      </c>
    </row>
    <row r="532" spans="2:13" x14ac:dyDescent="0.25">
      <c r="B532">
        <v>99</v>
      </c>
      <c r="C532" s="7">
        <v>45192</v>
      </c>
      <c r="D532" t="s">
        <v>47</v>
      </c>
      <c r="E532" t="str">
        <f>IFERROR(VLOOKUP(VendasSem4[[#This Row],[Produto]],cálculos!$I$3:$L$50,4,0),"")</f>
        <v>Unidade</v>
      </c>
      <c r="F532">
        <v>1</v>
      </c>
      <c r="G532" s="6">
        <f>IFERROR(VLOOKUP(VendasSem4[[#This Row],[Produto]],cálculos!$I$3:$L$50,3,0),0)</f>
        <v>2.6</v>
      </c>
      <c r="H532" s="6">
        <f>IFERROR(VendasSem4[[#This Row],[Quantidade]]*VendasSem4[[#This Row],[Preço Unitário]],0)</f>
        <v>2.6</v>
      </c>
      <c r="I532" s="11"/>
      <c r="J532" t="s">
        <v>109</v>
      </c>
      <c r="K532" s="6">
        <f>IFERROR(IF(VendasSem4[[#This Row],[Id da Venda]]=B533,0,VLOOKUP(VendasSem4[[#This Row],[Região de Entrega]],cálculos!$B$5:$C$9,2,0)),0)</f>
        <v>0</v>
      </c>
      <c r="L532" s="6">
        <f>(VendasSem4[[#This Row],[Subtotal]]*(1-VendasSem4[[#This Row],[Desconto]])+VendasSem4[[#This Row],[Valor de Entrega]])</f>
        <v>2.6</v>
      </c>
      <c r="M532" s="6" t="str">
        <f>IF(VendasSem4[[#This Row],[Id da Venda]]=B533,"",SUMIF(VendasSem4[Id da Venda],VendasSem4[[#This Row],[Id da Venda]],VendasSem4[Total]))</f>
        <v/>
      </c>
    </row>
    <row r="533" spans="2:13" x14ac:dyDescent="0.25">
      <c r="B533">
        <v>99</v>
      </c>
      <c r="C533" s="7">
        <v>45192</v>
      </c>
      <c r="D533" t="s">
        <v>136</v>
      </c>
      <c r="E533" t="str">
        <f>IFERROR(VLOOKUP(VendasSem4[[#This Row],[Produto]],cálculos!$I$3:$L$50,4,0),"")</f>
        <v>Unidade</v>
      </c>
      <c r="F533">
        <v>1</v>
      </c>
      <c r="G533" s="6">
        <f>IFERROR(VLOOKUP(VendasSem4[[#This Row],[Produto]],cálculos!$I$3:$L$50,3,0),0)</f>
        <v>10</v>
      </c>
      <c r="H533" s="6">
        <f>IFERROR(VendasSem4[[#This Row],[Quantidade]]*VendasSem4[[#This Row],[Preço Unitário]],0)</f>
        <v>10</v>
      </c>
      <c r="I533" s="11"/>
      <c r="J533" t="s">
        <v>109</v>
      </c>
      <c r="K533" s="6">
        <f>IFERROR(IF(VendasSem4[[#This Row],[Id da Venda]]=B534,0,VLOOKUP(VendasSem4[[#This Row],[Região de Entrega]],cálculos!$B$5:$C$9,2,0)),0)</f>
        <v>0</v>
      </c>
      <c r="L533" s="6">
        <f>(VendasSem4[[#This Row],[Subtotal]]*(1-VendasSem4[[#This Row],[Desconto]])+VendasSem4[[#This Row],[Valor de Entrega]])</f>
        <v>10</v>
      </c>
      <c r="M533" s="6" t="str">
        <f>IF(VendasSem4[[#This Row],[Id da Venda]]=B534,"",SUMIF(VendasSem4[Id da Venda],VendasSem4[[#This Row],[Id da Venda]],VendasSem4[Total]))</f>
        <v/>
      </c>
    </row>
    <row r="534" spans="2:13" x14ac:dyDescent="0.25">
      <c r="B534">
        <v>99</v>
      </c>
      <c r="C534" s="7">
        <v>45192</v>
      </c>
      <c r="D534" t="s">
        <v>66</v>
      </c>
      <c r="E534" t="str">
        <f>IFERROR(VLOOKUP(VendasSem4[[#This Row],[Produto]],cálculos!$I$3:$L$50,4,0),"")</f>
        <v>Litro</v>
      </c>
      <c r="F534">
        <v>4</v>
      </c>
      <c r="G534" s="6">
        <f>IFERROR(VLOOKUP(VendasSem4[[#This Row],[Produto]],cálculos!$I$3:$L$50,3,0),0)</f>
        <v>1.49</v>
      </c>
      <c r="H534" s="6">
        <f>IFERROR(VendasSem4[[#This Row],[Quantidade]]*VendasSem4[[#This Row],[Preço Unitário]],0)</f>
        <v>5.96</v>
      </c>
      <c r="I534" s="11"/>
      <c r="J534" t="s">
        <v>109</v>
      </c>
      <c r="K534" s="6">
        <f>IFERROR(IF(VendasSem4[[#This Row],[Id da Venda]]=B535,0,VLOOKUP(VendasSem4[[#This Row],[Região de Entrega]],cálculos!$B$5:$C$9,2,0)),0)</f>
        <v>0</v>
      </c>
      <c r="L534" s="6">
        <f>(VendasSem4[[#This Row],[Subtotal]]*(1-VendasSem4[[#This Row],[Desconto]])+VendasSem4[[#This Row],[Valor de Entrega]])</f>
        <v>5.96</v>
      </c>
      <c r="M534" s="6" t="str">
        <f>IF(VendasSem4[[#This Row],[Id da Venda]]=B535,"",SUMIF(VendasSem4[Id da Venda],VendasSem4[[#This Row],[Id da Venda]],VendasSem4[Total]))</f>
        <v/>
      </c>
    </row>
    <row r="535" spans="2:13" x14ac:dyDescent="0.25">
      <c r="B535">
        <v>99</v>
      </c>
      <c r="C535" s="7">
        <v>45192</v>
      </c>
      <c r="D535" t="s">
        <v>43</v>
      </c>
      <c r="E535" t="str">
        <f>IFERROR(VLOOKUP(VendasSem4[[#This Row],[Produto]],cálculos!$I$3:$L$50,4,0),"")</f>
        <v>Kg</v>
      </c>
      <c r="F535">
        <v>1</v>
      </c>
      <c r="G535" s="6">
        <f>IFERROR(VLOOKUP(VendasSem4[[#This Row],[Produto]],cálculos!$I$3:$L$50,3,0),0)</f>
        <v>9.58</v>
      </c>
      <c r="H535" s="6">
        <f>IFERROR(VendasSem4[[#This Row],[Quantidade]]*VendasSem4[[#This Row],[Preço Unitário]],0)</f>
        <v>9.58</v>
      </c>
      <c r="I535" s="11"/>
      <c r="J535" t="s">
        <v>109</v>
      </c>
      <c r="K535" s="6">
        <f>IFERROR(IF(VendasSem4[[#This Row],[Id da Venda]]=B536,0,VLOOKUP(VendasSem4[[#This Row],[Região de Entrega]],cálculos!$B$5:$C$9,2,0)),0)</f>
        <v>0</v>
      </c>
      <c r="L535" s="6">
        <f>(VendasSem4[[#This Row],[Subtotal]]*(1-VendasSem4[[#This Row],[Desconto]])+VendasSem4[[#This Row],[Valor de Entrega]])</f>
        <v>9.58</v>
      </c>
      <c r="M535" s="6" t="str">
        <f>IF(VendasSem4[[#This Row],[Id da Venda]]=B536,"",SUMIF(VendasSem4[Id da Venda],VendasSem4[[#This Row],[Id da Venda]],VendasSem4[Total]))</f>
        <v/>
      </c>
    </row>
    <row r="536" spans="2:13" x14ac:dyDescent="0.25">
      <c r="B536">
        <v>99</v>
      </c>
      <c r="C536" s="7">
        <v>45192</v>
      </c>
      <c r="D536" t="s">
        <v>128</v>
      </c>
      <c r="E536" t="str">
        <f>IFERROR(VLOOKUP(VendasSem4[[#This Row],[Produto]],cálculos!$I$3:$L$50,4,0),"")</f>
        <v>Kg</v>
      </c>
      <c r="F536">
        <v>1</v>
      </c>
      <c r="G536" s="6">
        <f>IFERROR(VLOOKUP(VendasSem4[[#This Row],[Produto]],cálculos!$I$3:$L$50,3,0),0)</f>
        <v>10</v>
      </c>
      <c r="H536" s="6">
        <f>IFERROR(VendasSem4[[#This Row],[Quantidade]]*VendasSem4[[#This Row],[Preço Unitário]],0)</f>
        <v>10</v>
      </c>
      <c r="I536" s="11"/>
      <c r="J536" t="s">
        <v>109</v>
      </c>
      <c r="K536" s="6">
        <f>IFERROR(IF(VendasSem4[[#This Row],[Id da Venda]]=B537,0,VLOOKUP(VendasSem4[[#This Row],[Região de Entrega]],cálculos!$B$5:$C$9,2,0)),0)</f>
        <v>0</v>
      </c>
      <c r="L536" s="6">
        <f>(VendasSem4[[#This Row],[Subtotal]]*(1-VendasSem4[[#This Row],[Desconto]])+VendasSem4[[#This Row],[Valor de Entrega]])</f>
        <v>10</v>
      </c>
      <c r="M536" s="6" t="str">
        <f>IF(VendasSem4[[#This Row],[Id da Venda]]=B537,"",SUMIF(VendasSem4[Id da Venda],VendasSem4[[#This Row],[Id da Venda]],VendasSem4[Total]))</f>
        <v/>
      </c>
    </row>
    <row r="537" spans="2:13" x14ac:dyDescent="0.25">
      <c r="B537">
        <v>99</v>
      </c>
      <c r="C537" s="7">
        <v>45192</v>
      </c>
      <c r="D537" t="s">
        <v>123</v>
      </c>
      <c r="E537" t="str">
        <f>IFERROR(VLOOKUP(VendasSem4[[#This Row],[Produto]],cálculos!$I$3:$L$50,4,0),"")</f>
        <v>Kg</v>
      </c>
      <c r="F537">
        <v>2</v>
      </c>
      <c r="G537" s="6">
        <f>IFERROR(VLOOKUP(VendasSem4[[#This Row],[Produto]],cálculos!$I$3:$L$50,3,0),0)</f>
        <v>8</v>
      </c>
      <c r="H537" s="6">
        <f>IFERROR(VendasSem4[[#This Row],[Quantidade]]*VendasSem4[[#This Row],[Preço Unitário]],0)</f>
        <v>16</v>
      </c>
      <c r="I537" s="11"/>
      <c r="J537" t="s">
        <v>109</v>
      </c>
      <c r="K537" s="6">
        <f>IFERROR(IF(VendasSem4[[#This Row],[Id da Venda]]=B538,0,VLOOKUP(VendasSem4[[#This Row],[Região de Entrega]],cálculos!$B$5:$C$9,2,0)),0)</f>
        <v>0</v>
      </c>
      <c r="L537" s="6">
        <f>(VendasSem4[[#This Row],[Subtotal]]*(1-VendasSem4[[#This Row],[Desconto]])+VendasSem4[[#This Row],[Valor de Entrega]])</f>
        <v>16</v>
      </c>
      <c r="M537" s="6" t="str">
        <f>IF(VendasSem4[[#This Row],[Id da Venda]]=B538,"",SUMIF(VendasSem4[Id da Venda],VendasSem4[[#This Row],[Id da Venda]],VendasSem4[Total]))</f>
        <v/>
      </c>
    </row>
    <row r="538" spans="2:13" x14ac:dyDescent="0.25">
      <c r="B538">
        <v>99</v>
      </c>
      <c r="C538" s="7">
        <v>45192</v>
      </c>
      <c r="D538" t="s">
        <v>57</v>
      </c>
      <c r="E538" t="str">
        <f>IFERROR(VLOOKUP(VendasSem4[[#This Row],[Produto]],cálculos!$I$3:$L$50,4,0),"")</f>
        <v>Barra</v>
      </c>
      <c r="F538">
        <v>1</v>
      </c>
      <c r="G538" s="6">
        <f>IFERROR(VLOOKUP(VendasSem4[[#This Row],[Produto]],cálculos!$I$3:$L$50,3,0),0)</f>
        <v>4.99</v>
      </c>
      <c r="H538" s="6">
        <f>IFERROR(VendasSem4[[#This Row],[Quantidade]]*VendasSem4[[#This Row],[Preço Unitário]],0)</f>
        <v>4.99</v>
      </c>
      <c r="I538" s="11"/>
      <c r="J538" t="s">
        <v>109</v>
      </c>
      <c r="K538" s="6">
        <f>IFERROR(IF(VendasSem4[[#This Row],[Id da Venda]]=B539,0,VLOOKUP(VendasSem4[[#This Row],[Região de Entrega]],cálculos!$B$5:$C$9,2,0)),0)</f>
        <v>0</v>
      </c>
      <c r="L538" s="6">
        <f>(VendasSem4[[#This Row],[Subtotal]]*(1-VendasSem4[[#This Row],[Desconto]])+VendasSem4[[#This Row],[Valor de Entrega]])</f>
        <v>4.99</v>
      </c>
      <c r="M538" s="6">
        <f>IF(VendasSem4[[#This Row],[Id da Venda]]=B539,"",SUMIF(VendasSem4[Id da Venda],VendasSem4[[#This Row],[Id da Venda]],VendasSem4[Total]))</f>
        <v>409.48</v>
      </c>
    </row>
    <row r="539" spans="2:13" x14ac:dyDescent="0.25">
      <c r="B539">
        <v>100</v>
      </c>
      <c r="C539" s="7">
        <v>45192</v>
      </c>
      <c r="D539" t="s">
        <v>32</v>
      </c>
      <c r="E539" t="str">
        <f>IFERROR(VLOOKUP(VendasSem4[[#This Row],[Produto]],cálculos!$I$3:$L$50,4,0),"")</f>
        <v>Kg</v>
      </c>
      <c r="F539">
        <v>10</v>
      </c>
      <c r="G539" s="6">
        <f>IFERROR(VLOOKUP(VendasSem4[[#This Row],[Produto]],cálculos!$I$3:$L$50,3,0),0)</f>
        <v>2.4900000000000002</v>
      </c>
      <c r="H539" s="6">
        <f>IFERROR(VendasSem4[[#This Row],[Quantidade]]*VendasSem4[[#This Row],[Preço Unitário]],0)</f>
        <v>24.900000000000002</v>
      </c>
      <c r="I539" s="11"/>
      <c r="J539" t="s">
        <v>109</v>
      </c>
      <c r="K539" s="6">
        <f>IFERROR(IF(VendasSem4[[#This Row],[Id da Venda]]=B540,0,VLOOKUP(VendasSem4[[#This Row],[Região de Entrega]],cálculos!$B$5:$C$9,2,0)),0)</f>
        <v>0</v>
      </c>
      <c r="L539" s="6">
        <f>(VendasSem4[[#This Row],[Subtotal]]*(1-VendasSem4[[#This Row],[Desconto]])+VendasSem4[[#This Row],[Valor de Entrega]])</f>
        <v>24.900000000000002</v>
      </c>
      <c r="M539" s="6" t="str">
        <f>IF(VendasSem4[[#This Row],[Id da Venda]]=B540,"",SUMIF(VendasSem4[Id da Venda],VendasSem4[[#This Row],[Id da Venda]],VendasSem4[Total]))</f>
        <v/>
      </c>
    </row>
    <row r="540" spans="2:13" x14ac:dyDescent="0.25">
      <c r="B540">
        <v>100</v>
      </c>
      <c r="C540" s="7">
        <v>45192</v>
      </c>
      <c r="D540" t="s">
        <v>33</v>
      </c>
      <c r="E540" t="str">
        <f>IFERROR(VLOOKUP(VendasSem4[[#This Row],[Produto]],cálculos!$I$3:$L$50,4,0),"")</f>
        <v>Kg</v>
      </c>
      <c r="F540">
        <v>3</v>
      </c>
      <c r="G540" s="6">
        <f>IFERROR(VLOOKUP(VendasSem4[[#This Row],[Produto]],cálculos!$I$3:$L$50,3,0),0)</f>
        <v>4.28</v>
      </c>
      <c r="H540" s="6">
        <f>IFERROR(VendasSem4[[#This Row],[Quantidade]]*VendasSem4[[#This Row],[Preço Unitário]],0)</f>
        <v>12.84</v>
      </c>
      <c r="I540" s="11"/>
      <c r="J540" t="s">
        <v>109</v>
      </c>
      <c r="K540" s="6">
        <f>IFERROR(IF(VendasSem4[[#This Row],[Id da Venda]]=B541,0,VLOOKUP(VendasSem4[[#This Row],[Região de Entrega]],cálculos!$B$5:$C$9,2,0)),0)</f>
        <v>0</v>
      </c>
      <c r="L540" s="6">
        <f>(VendasSem4[[#This Row],[Subtotal]]*(1-VendasSem4[[#This Row],[Desconto]])+VendasSem4[[#This Row],[Valor de Entrega]])</f>
        <v>12.84</v>
      </c>
      <c r="M540" s="6" t="str">
        <f>IF(VendasSem4[[#This Row],[Id da Venda]]=B541,"",SUMIF(VendasSem4[Id da Venda],VendasSem4[[#This Row],[Id da Venda]],VendasSem4[Total]))</f>
        <v/>
      </c>
    </row>
    <row r="541" spans="2:13" x14ac:dyDescent="0.25">
      <c r="B541">
        <v>100</v>
      </c>
      <c r="C541" s="7">
        <v>45192</v>
      </c>
      <c r="D541" t="s">
        <v>37</v>
      </c>
      <c r="E541" t="str">
        <f>IFERROR(VLOOKUP(VendasSem4[[#This Row],[Produto]],cálculos!$I$3:$L$50,4,0),"")</f>
        <v>Kg</v>
      </c>
      <c r="F541">
        <v>2</v>
      </c>
      <c r="G541" s="6">
        <f>IFERROR(VLOOKUP(VendasSem4[[#This Row],[Produto]],cálculos!$I$3:$L$50,3,0),0)</f>
        <v>6.98</v>
      </c>
      <c r="H541" s="6">
        <f>IFERROR(VendasSem4[[#This Row],[Quantidade]]*VendasSem4[[#This Row],[Preço Unitário]],0)</f>
        <v>13.96</v>
      </c>
      <c r="I541" s="11"/>
      <c r="J541" t="s">
        <v>109</v>
      </c>
      <c r="K541" s="6">
        <f>IFERROR(IF(VendasSem4[[#This Row],[Id da Venda]]=B542,0,VLOOKUP(VendasSem4[[#This Row],[Região de Entrega]],cálculos!$B$5:$C$9,2,0)),0)</f>
        <v>0</v>
      </c>
      <c r="L541" s="6">
        <f>(VendasSem4[[#This Row],[Subtotal]]*(1-VendasSem4[[#This Row],[Desconto]])+VendasSem4[[#This Row],[Valor de Entrega]])</f>
        <v>13.96</v>
      </c>
      <c r="M541" s="6" t="str">
        <f>IF(VendasSem4[[#This Row],[Id da Venda]]=B542,"",SUMIF(VendasSem4[Id da Venda],VendasSem4[[#This Row],[Id da Venda]],VendasSem4[Total]))</f>
        <v/>
      </c>
    </row>
    <row r="542" spans="2:13" x14ac:dyDescent="0.25">
      <c r="B542">
        <v>100</v>
      </c>
      <c r="C542" s="7">
        <v>45192</v>
      </c>
      <c r="D542" t="s">
        <v>71</v>
      </c>
      <c r="E542" t="str">
        <f>IFERROR(VLOOKUP(VendasSem4[[#This Row],[Produto]],cálculos!$I$3:$L$50,4,0),"")</f>
        <v>Unidade</v>
      </c>
      <c r="F542">
        <v>1</v>
      </c>
      <c r="G542" s="6">
        <f>IFERROR(VLOOKUP(VendasSem4[[#This Row],[Produto]],cálculos!$I$3:$L$50,3,0),0)</f>
        <v>2.89</v>
      </c>
      <c r="H542" s="6">
        <f>IFERROR(VendasSem4[[#This Row],[Quantidade]]*VendasSem4[[#This Row],[Preço Unitário]],0)</f>
        <v>2.89</v>
      </c>
      <c r="I542" s="11"/>
      <c r="J542" t="s">
        <v>109</v>
      </c>
      <c r="K542" s="6">
        <f>IFERROR(IF(VendasSem4[[#This Row],[Id da Venda]]=B543,0,VLOOKUP(VendasSem4[[#This Row],[Região de Entrega]],cálculos!$B$5:$C$9,2,0)),0)</f>
        <v>0</v>
      </c>
      <c r="L542" s="6">
        <f>(VendasSem4[[#This Row],[Subtotal]]*(1-VendasSem4[[#This Row],[Desconto]])+VendasSem4[[#This Row],[Valor de Entrega]])</f>
        <v>2.89</v>
      </c>
      <c r="M542" s="6" t="str">
        <f>IF(VendasSem4[[#This Row],[Id da Venda]]=B543,"",SUMIF(VendasSem4[Id da Venda],VendasSem4[[#This Row],[Id da Venda]],VendasSem4[Total]))</f>
        <v/>
      </c>
    </row>
    <row r="543" spans="2:13" x14ac:dyDescent="0.25">
      <c r="B543">
        <v>100</v>
      </c>
      <c r="C543" s="7">
        <v>45192</v>
      </c>
      <c r="D543" t="s">
        <v>38</v>
      </c>
      <c r="E543" t="str">
        <f>IFERROR(VLOOKUP(VendasSem4[[#This Row],[Produto]],cálculos!$I$3:$L$50,4,0),"")</f>
        <v>Kg</v>
      </c>
      <c r="F543">
        <v>5</v>
      </c>
      <c r="G543" s="6">
        <f>IFERROR(VLOOKUP(VendasSem4[[#This Row],[Produto]],cálculos!$I$3:$L$50,3,0),0)</f>
        <v>23.9</v>
      </c>
      <c r="H543" s="6">
        <f>IFERROR(VendasSem4[[#This Row],[Quantidade]]*VendasSem4[[#This Row],[Preço Unitário]],0)</f>
        <v>119.5</v>
      </c>
      <c r="I543" s="11"/>
      <c r="J543" t="s">
        <v>109</v>
      </c>
      <c r="K543" s="6">
        <f>IFERROR(IF(VendasSem4[[#This Row],[Id da Venda]]=B544,0,VLOOKUP(VendasSem4[[#This Row],[Região de Entrega]],cálculos!$B$5:$C$9,2,0)),0)</f>
        <v>0</v>
      </c>
      <c r="L543" s="6">
        <f>(VendasSem4[[#This Row],[Subtotal]]*(1-VendasSem4[[#This Row],[Desconto]])+VendasSem4[[#This Row],[Valor de Entrega]])</f>
        <v>119.5</v>
      </c>
      <c r="M543" s="6" t="str">
        <f>IF(VendasSem4[[#This Row],[Id da Venda]]=B544,"",SUMIF(VendasSem4[Id da Venda],VendasSem4[[#This Row],[Id da Venda]],VendasSem4[Total]))</f>
        <v/>
      </c>
    </row>
    <row r="544" spans="2:13" x14ac:dyDescent="0.25">
      <c r="B544">
        <v>100</v>
      </c>
      <c r="C544" s="7">
        <v>45192</v>
      </c>
      <c r="D544" t="s">
        <v>36</v>
      </c>
      <c r="E544" t="str">
        <f>IFERROR(VLOOKUP(VendasSem4[[#This Row],[Produto]],cálculos!$I$3:$L$50,4,0),"")</f>
        <v>Kg</v>
      </c>
      <c r="F544">
        <v>10</v>
      </c>
      <c r="G544" s="6">
        <f>IFERROR(VLOOKUP(VendasSem4[[#This Row],[Produto]],cálculos!$I$3:$L$50,3,0),0)</f>
        <v>15.9</v>
      </c>
      <c r="H544" s="6">
        <f>IFERROR(VendasSem4[[#This Row],[Quantidade]]*VendasSem4[[#This Row],[Preço Unitário]],0)</f>
        <v>159</v>
      </c>
      <c r="I544" s="11"/>
      <c r="J544" t="s">
        <v>109</v>
      </c>
      <c r="K544" s="6">
        <f>IFERROR(IF(VendasSem4[[#This Row],[Id da Venda]]=B545,0,VLOOKUP(VendasSem4[[#This Row],[Região de Entrega]],cálculos!$B$5:$C$9,2,0)),0)</f>
        <v>0</v>
      </c>
      <c r="L544" s="6">
        <f>(VendasSem4[[#This Row],[Subtotal]]*(1-VendasSem4[[#This Row],[Desconto]])+VendasSem4[[#This Row],[Valor de Entrega]])</f>
        <v>159</v>
      </c>
      <c r="M544" s="6" t="str">
        <f>IF(VendasSem4[[#This Row],[Id da Venda]]=B545,"",SUMIF(VendasSem4[Id da Venda],VendasSem4[[#This Row],[Id da Venda]],VendasSem4[Total]))</f>
        <v/>
      </c>
    </row>
    <row r="545" spans="2:13" x14ac:dyDescent="0.25">
      <c r="B545">
        <v>100</v>
      </c>
      <c r="C545" s="7">
        <v>45192</v>
      </c>
      <c r="D545" t="s">
        <v>72</v>
      </c>
      <c r="E545" t="str">
        <f>IFERROR(VLOOKUP(VendasSem4[[#This Row],[Produto]],cálculos!$I$3:$L$50,4,0),"")</f>
        <v>Litro</v>
      </c>
      <c r="F545">
        <v>5</v>
      </c>
      <c r="G545" s="6">
        <f>IFERROR(VLOOKUP(VendasSem4[[#This Row],[Produto]],cálculos!$I$3:$L$50,3,0),0)</f>
        <v>2.39</v>
      </c>
      <c r="H545" s="6">
        <f>IFERROR(VendasSem4[[#This Row],[Quantidade]]*VendasSem4[[#This Row],[Preço Unitário]],0)</f>
        <v>11.950000000000001</v>
      </c>
      <c r="I545" s="11"/>
      <c r="J545" t="s">
        <v>109</v>
      </c>
      <c r="K545" s="6">
        <f>IFERROR(IF(VendasSem4[[#This Row],[Id da Venda]]=B546,0,VLOOKUP(VendasSem4[[#This Row],[Região de Entrega]],cálculos!$B$5:$C$9,2,0)),0)</f>
        <v>0</v>
      </c>
      <c r="L545" s="6">
        <f>(VendasSem4[[#This Row],[Subtotal]]*(1-VendasSem4[[#This Row],[Desconto]])+VendasSem4[[#This Row],[Valor de Entrega]])</f>
        <v>11.950000000000001</v>
      </c>
      <c r="M545" s="6" t="str">
        <f>IF(VendasSem4[[#This Row],[Id da Venda]]=B546,"",SUMIF(VendasSem4[Id da Venda],VendasSem4[[#This Row],[Id da Venda]],VendasSem4[Total]))</f>
        <v/>
      </c>
    </row>
    <row r="546" spans="2:13" x14ac:dyDescent="0.25">
      <c r="B546">
        <v>100</v>
      </c>
      <c r="C546" s="7">
        <v>45192</v>
      </c>
      <c r="D546" t="s">
        <v>128</v>
      </c>
      <c r="E546" t="str">
        <f>IFERROR(VLOOKUP(VendasSem4[[#This Row],[Produto]],cálculos!$I$3:$L$50,4,0),"")</f>
        <v>Kg</v>
      </c>
      <c r="F546">
        <v>2</v>
      </c>
      <c r="G546" s="6">
        <f>IFERROR(VLOOKUP(VendasSem4[[#This Row],[Produto]],cálculos!$I$3:$L$50,3,0),0)</f>
        <v>10</v>
      </c>
      <c r="H546" s="6">
        <f>IFERROR(VendasSem4[[#This Row],[Quantidade]]*VendasSem4[[#This Row],[Preço Unitário]],0)</f>
        <v>20</v>
      </c>
      <c r="I546" s="11"/>
      <c r="J546" t="s">
        <v>109</v>
      </c>
      <c r="K546" s="6">
        <f>IFERROR(IF(VendasSem4[[#This Row],[Id da Venda]]=B547,0,VLOOKUP(VendasSem4[[#This Row],[Região de Entrega]],cálculos!$B$5:$C$9,2,0)),0)</f>
        <v>0</v>
      </c>
      <c r="L546" s="6">
        <f>(VendasSem4[[#This Row],[Subtotal]]*(1-VendasSem4[[#This Row],[Desconto]])+VendasSem4[[#This Row],[Valor de Entrega]])</f>
        <v>20</v>
      </c>
      <c r="M546" s="6" t="str">
        <f>IF(VendasSem4[[#This Row],[Id da Venda]]=B547,"",SUMIF(VendasSem4[Id da Venda],VendasSem4[[#This Row],[Id da Venda]],VendasSem4[Total]))</f>
        <v/>
      </c>
    </row>
    <row r="547" spans="2:13" x14ac:dyDescent="0.25">
      <c r="B547">
        <v>100</v>
      </c>
      <c r="C547" s="7">
        <v>45192</v>
      </c>
      <c r="D547" t="s">
        <v>130</v>
      </c>
      <c r="E547" t="str">
        <f>IFERROR(VLOOKUP(VendasSem4[[#This Row],[Produto]],cálculos!$I$3:$L$50,4,0),"")</f>
        <v>Kg</v>
      </c>
      <c r="F547">
        <v>2</v>
      </c>
      <c r="G547" s="6">
        <f>IFERROR(VLOOKUP(VendasSem4[[#This Row],[Produto]],cálculos!$I$3:$L$50,3,0),0)</f>
        <v>2.8</v>
      </c>
      <c r="H547" s="6">
        <f>IFERROR(VendasSem4[[#This Row],[Quantidade]]*VendasSem4[[#This Row],[Preço Unitário]],0)</f>
        <v>5.6</v>
      </c>
      <c r="I547" s="11"/>
      <c r="J547" t="s">
        <v>109</v>
      </c>
      <c r="K547" s="6">
        <f>IFERROR(IF(VendasSem4[[#This Row],[Id da Venda]]=B548,0,VLOOKUP(VendasSem4[[#This Row],[Região de Entrega]],cálculos!$B$5:$C$9,2,0)),0)</f>
        <v>0</v>
      </c>
      <c r="L547" s="6">
        <f>(VendasSem4[[#This Row],[Subtotal]]*(1-VendasSem4[[#This Row],[Desconto]])+VendasSem4[[#This Row],[Valor de Entrega]])</f>
        <v>5.6</v>
      </c>
      <c r="M547" s="6" t="str">
        <f>IF(VendasSem4[[#This Row],[Id da Venda]]=B548,"",SUMIF(VendasSem4[Id da Venda],VendasSem4[[#This Row],[Id da Venda]],VendasSem4[Total]))</f>
        <v/>
      </c>
    </row>
    <row r="548" spans="2:13" x14ac:dyDescent="0.25">
      <c r="B548">
        <v>100</v>
      </c>
      <c r="C548" s="7">
        <v>45192</v>
      </c>
      <c r="D548" t="s">
        <v>41</v>
      </c>
      <c r="E548" t="str">
        <f>IFERROR(VLOOKUP(VendasSem4[[#This Row],[Produto]],cálculos!$I$3:$L$50,4,0),"")</f>
        <v>Litro</v>
      </c>
      <c r="F548">
        <v>3</v>
      </c>
      <c r="G548" s="6">
        <f>IFERROR(VLOOKUP(VendasSem4[[#This Row],[Produto]],cálculos!$I$3:$L$50,3,0),0)</f>
        <v>3.45</v>
      </c>
      <c r="H548" s="6">
        <f>IFERROR(VendasSem4[[#This Row],[Quantidade]]*VendasSem4[[#This Row],[Preço Unitário]],0)</f>
        <v>10.350000000000001</v>
      </c>
      <c r="I548" s="11"/>
      <c r="J548" t="s">
        <v>109</v>
      </c>
      <c r="K548" s="6">
        <f>IFERROR(IF(VendasSem4[[#This Row],[Id da Venda]]=B549,0,VLOOKUP(VendasSem4[[#This Row],[Região de Entrega]],cálculos!$B$5:$C$9,2,0)),0)</f>
        <v>0</v>
      </c>
      <c r="L548" s="6">
        <f>(VendasSem4[[#This Row],[Subtotal]]*(1-VendasSem4[[#This Row],[Desconto]])+VendasSem4[[#This Row],[Valor de Entrega]])</f>
        <v>10.350000000000001</v>
      </c>
      <c r="M548" s="6" t="str">
        <f>IF(VendasSem4[[#This Row],[Id da Venda]]=B549,"",SUMIF(VendasSem4[Id da Venda],VendasSem4[[#This Row],[Id da Venda]],VendasSem4[Total]))</f>
        <v/>
      </c>
    </row>
    <row r="549" spans="2:13" x14ac:dyDescent="0.25">
      <c r="B549">
        <v>100</v>
      </c>
      <c r="C549" s="7">
        <v>45192</v>
      </c>
      <c r="D549" t="s">
        <v>34</v>
      </c>
      <c r="E549" t="str">
        <f>IFERROR(VLOOKUP(VendasSem4[[#This Row],[Produto]],cálculos!$I$3:$L$50,4,0),"")</f>
        <v>Kg</v>
      </c>
      <c r="F549">
        <v>15</v>
      </c>
      <c r="G549" s="6">
        <f>IFERROR(VLOOKUP(VendasSem4[[#This Row],[Produto]],cálculos!$I$3:$L$50,3,0),0)</f>
        <v>5.82</v>
      </c>
      <c r="H549" s="6">
        <f>IFERROR(VendasSem4[[#This Row],[Quantidade]]*VendasSem4[[#This Row],[Preço Unitário]],0)</f>
        <v>87.300000000000011</v>
      </c>
      <c r="I549" s="11"/>
      <c r="J549" t="s">
        <v>109</v>
      </c>
      <c r="K549" s="6">
        <f>IFERROR(IF(VendasSem4[[#This Row],[Id da Venda]]=B550,0,VLOOKUP(VendasSem4[[#This Row],[Região de Entrega]],cálculos!$B$5:$C$9,2,0)),0)</f>
        <v>0</v>
      </c>
      <c r="L549" s="6">
        <f>(VendasSem4[[#This Row],[Subtotal]]*(1-VendasSem4[[#This Row],[Desconto]])+VendasSem4[[#This Row],[Valor de Entrega]])</f>
        <v>87.300000000000011</v>
      </c>
      <c r="M549" s="6" t="str">
        <f>IF(VendasSem4[[#This Row],[Id da Venda]]=B550,"",SUMIF(VendasSem4[Id da Venda],VendasSem4[[#This Row],[Id da Venda]],VendasSem4[Total]))</f>
        <v/>
      </c>
    </row>
    <row r="550" spans="2:13" x14ac:dyDescent="0.25">
      <c r="B550">
        <v>100</v>
      </c>
      <c r="C550" s="7">
        <v>45192</v>
      </c>
      <c r="D550" t="s">
        <v>39</v>
      </c>
      <c r="E550" t="str">
        <f>IFERROR(VLOOKUP(VendasSem4[[#This Row],[Produto]],cálculos!$I$3:$L$50,4,0),"")</f>
        <v>Kg</v>
      </c>
      <c r="F550">
        <v>2</v>
      </c>
      <c r="G550" s="6">
        <f>IFERROR(VLOOKUP(VendasSem4[[#This Row],[Produto]],cálculos!$I$3:$L$50,3,0),0)</f>
        <v>25.9</v>
      </c>
      <c r="H550" s="6">
        <f>IFERROR(VendasSem4[[#This Row],[Quantidade]]*VendasSem4[[#This Row],[Preço Unitário]],0)</f>
        <v>51.8</v>
      </c>
      <c r="I550" s="11"/>
      <c r="J550" t="s">
        <v>109</v>
      </c>
      <c r="K550" s="6">
        <f>IFERROR(IF(VendasSem4[[#This Row],[Id da Venda]]=B551,0,VLOOKUP(VendasSem4[[#This Row],[Região de Entrega]],cálculos!$B$5:$C$9,2,0)),0)</f>
        <v>0</v>
      </c>
      <c r="L550" s="6">
        <f>(VendasSem4[[#This Row],[Subtotal]]*(1-VendasSem4[[#This Row],[Desconto]])+VendasSem4[[#This Row],[Valor de Entrega]])</f>
        <v>51.8</v>
      </c>
      <c r="M550" s="6" t="str">
        <f>IF(VendasSem4[[#This Row],[Id da Venda]]=B551,"",SUMIF(VendasSem4[Id da Venda],VendasSem4[[#This Row],[Id da Venda]],VendasSem4[Total]))</f>
        <v/>
      </c>
    </row>
    <row r="551" spans="2:13" x14ac:dyDescent="0.25">
      <c r="B551">
        <v>100</v>
      </c>
      <c r="C551" s="7">
        <v>45192</v>
      </c>
      <c r="D551" t="s">
        <v>132</v>
      </c>
      <c r="E551" t="str">
        <f>IFERROR(VLOOKUP(VendasSem4[[#This Row],[Produto]],cálculos!$I$3:$L$50,4,0),"")</f>
        <v>Kg</v>
      </c>
      <c r="F551">
        <v>1</v>
      </c>
      <c r="G551" s="6">
        <f>IFERROR(VLOOKUP(VendasSem4[[#This Row],[Produto]],cálculos!$I$3:$L$50,3,0),0)</f>
        <v>2.9</v>
      </c>
      <c r="H551" s="6">
        <f>IFERROR(VendasSem4[[#This Row],[Quantidade]]*VendasSem4[[#This Row],[Preço Unitário]],0)</f>
        <v>2.9</v>
      </c>
      <c r="I551" s="11"/>
      <c r="J551" t="s">
        <v>109</v>
      </c>
      <c r="K551" s="6">
        <f>IFERROR(IF(VendasSem4[[#This Row],[Id da Venda]]=B552,0,VLOOKUP(VendasSem4[[#This Row],[Região de Entrega]],cálculos!$B$5:$C$9,2,0)),0)</f>
        <v>0</v>
      </c>
      <c r="L551" s="6">
        <f>(VendasSem4[[#This Row],[Subtotal]]*(1-VendasSem4[[#This Row],[Desconto]])+VendasSem4[[#This Row],[Valor de Entrega]])</f>
        <v>2.9</v>
      </c>
      <c r="M551" s="6">
        <f>IF(VendasSem4[[#This Row],[Id da Venda]]=B552,"",SUMIF(VendasSem4[Id da Venda],VendasSem4[[#This Row],[Id da Venda]],VendasSem4[Total]))</f>
        <v>522.99</v>
      </c>
    </row>
    <row r="552" spans="2:13" x14ac:dyDescent="0.25">
      <c r="B552">
        <v>101</v>
      </c>
      <c r="C552" s="7">
        <v>45192</v>
      </c>
      <c r="D552" t="s">
        <v>46</v>
      </c>
      <c r="E552" t="str">
        <f>IFERROR(VLOOKUP(VendasSem4[[#This Row],[Produto]],cálculos!$I$3:$L$50,4,0),"")</f>
        <v>Garrafa</v>
      </c>
      <c r="F552">
        <v>200</v>
      </c>
      <c r="G552" s="6">
        <f>IFERROR(VLOOKUP(VendasSem4[[#This Row],[Produto]],cálculos!$I$3:$L$50,3,0),0)</f>
        <v>54.9</v>
      </c>
      <c r="H552" s="6">
        <f>IFERROR(VendasSem4[[#This Row],[Quantidade]]*VendasSem4[[#This Row],[Preço Unitário]],0)</f>
        <v>10980</v>
      </c>
      <c r="I552" s="11"/>
      <c r="J552" t="s">
        <v>109</v>
      </c>
      <c r="K552" s="6">
        <f>IFERROR(IF(VendasSem4[[#This Row],[Id da Venda]]=B553,0,VLOOKUP(VendasSem4[[#This Row],[Região de Entrega]],cálculos!$B$5:$C$9,2,0)),0)</f>
        <v>0</v>
      </c>
      <c r="L552" s="6">
        <f>(VendasSem4[[#This Row],[Subtotal]]*(1-VendasSem4[[#This Row],[Desconto]])+VendasSem4[[#This Row],[Valor de Entrega]])</f>
        <v>10980</v>
      </c>
      <c r="M552" s="6" t="str">
        <f>IF(VendasSem4[[#This Row],[Id da Venda]]=B553,"",SUMIF(VendasSem4[Id da Venda],VendasSem4[[#This Row],[Id da Venda]],VendasSem4[Total]))</f>
        <v/>
      </c>
    </row>
    <row r="553" spans="2:13" x14ac:dyDescent="0.25">
      <c r="B553">
        <v>101</v>
      </c>
      <c r="C553" s="7">
        <v>45192</v>
      </c>
      <c r="D553" t="s">
        <v>40</v>
      </c>
      <c r="E553" t="str">
        <f>IFERROR(VLOOKUP(VendasSem4[[#This Row],[Produto]],cálculos!$I$3:$L$50,4,0),"")</f>
        <v>Garrafa</v>
      </c>
      <c r="F553">
        <v>180</v>
      </c>
      <c r="G553" s="6">
        <f>IFERROR(VLOOKUP(VendasSem4[[#This Row],[Produto]],cálculos!$I$3:$L$50,3,0),0)</f>
        <v>29.9</v>
      </c>
      <c r="H553" s="6">
        <f>IFERROR(VendasSem4[[#This Row],[Quantidade]]*VendasSem4[[#This Row],[Preço Unitário]],0)</f>
        <v>5382</v>
      </c>
      <c r="I553" s="11"/>
      <c r="J553" t="s">
        <v>109</v>
      </c>
      <c r="K553" s="6">
        <f>IFERROR(IF(VendasSem4[[#This Row],[Id da Venda]]=B554,0,VLOOKUP(VendasSem4[[#This Row],[Região de Entrega]],cálculos!$B$5:$C$9,2,0)),0)</f>
        <v>0</v>
      </c>
      <c r="L553" s="6">
        <f>(VendasSem4[[#This Row],[Subtotal]]*(1-VendasSem4[[#This Row],[Desconto]])+VendasSem4[[#This Row],[Valor de Entrega]])</f>
        <v>5382</v>
      </c>
      <c r="M553" s="6">
        <f>IF(VendasSem4[[#This Row],[Id da Venda]]=B554,"",SUMIF(VendasSem4[Id da Venda],VendasSem4[[#This Row],[Id da Venda]],VendasSem4[Total]))</f>
        <v>16362</v>
      </c>
    </row>
    <row r="554" spans="2:13" x14ac:dyDescent="0.25">
      <c r="B554">
        <v>102</v>
      </c>
      <c r="C554" s="7">
        <v>45192</v>
      </c>
      <c r="D554" t="s">
        <v>43</v>
      </c>
      <c r="E554" t="str">
        <f>IFERROR(VLOOKUP(VendasSem4[[#This Row],[Produto]],cálculos!$I$3:$L$50,4,0),"")</f>
        <v>Kg</v>
      </c>
      <c r="F554">
        <v>1</v>
      </c>
      <c r="G554" s="6">
        <f>IFERROR(VLOOKUP(VendasSem4[[#This Row],[Produto]],cálculos!$I$3:$L$50,3,0),0)</f>
        <v>9.58</v>
      </c>
      <c r="H554" s="6">
        <f>IFERROR(VendasSem4[[#This Row],[Quantidade]]*VendasSem4[[#This Row],[Preço Unitário]],0)</f>
        <v>9.58</v>
      </c>
      <c r="I554" s="11"/>
      <c r="J554" t="s">
        <v>108</v>
      </c>
      <c r="K554" s="6">
        <f>IFERROR(IF(VendasSem4[[#This Row],[Id da Venda]]=B555,0,VLOOKUP(VendasSem4[[#This Row],[Região de Entrega]],cálculos!$B$5:$C$9,2,0)),0)</f>
        <v>0</v>
      </c>
      <c r="L554" s="6">
        <f>(VendasSem4[[#This Row],[Subtotal]]*(1-VendasSem4[[#This Row],[Desconto]])+VendasSem4[[#This Row],[Valor de Entrega]])</f>
        <v>9.58</v>
      </c>
      <c r="M554" s="6" t="str">
        <f>IF(VendasSem4[[#This Row],[Id da Venda]]=B555,"",SUMIF(VendasSem4[Id da Venda],VendasSem4[[#This Row],[Id da Venda]],VendasSem4[Total]))</f>
        <v/>
      </c>
    </row>
    <row r="555" spans="2:13" x14ac:dyDescent="0.25">
      <c r="B555">
        <v>102</v>
      </c>
      <c r="C555" s="7">
        <v>45192</v>
      </c>
      <c r="D555" t="s">
        <v>131</v>
      </c>
      <c r="E555" t="str">
        <f>IFERROR(VLOOKUP(VendasSem4[[#This Row],[Produto]],cálculos!$I$3:$L$50,4,0),"")</f>
        <v>Kg</v>
      </c>
      <c r="F555">
        <v>0.6</v>
      </c>
      <c r="G555" s="6">
        <f>IFERROR(VLOOKUP(VendasSem4[[#This Row],[Produto]],cálculos!$I$3:$L$50,3,0),0)</f>
        <v>3</v>
      </c>
      <c r="H555" s="6">
        <f>IFERROR(VendasSem4[[#This Row],[Quantidade]]*VendasSem4[[#This Row],[Preço Unitário]],0)</f>
        <v>1.7999999999999998</v>
      </c>
      <c r="I555" s="11"/>
      <c r="J555" t="s">
        <v>108</v>
      </c>
      <c r="K555" s="6">
        <f>IFERROR(IF(VendasSem4[[#This Row],[Id da Venda]]=B556,0,VLOOKUP(VendasSem4[[#This Row],[Região de Entrega]],cálculos!$B$5:$C$9,2,0)),0)</f>
        <v>0</v>
      </c>
      <c r="L555" s="6">
        <f>(VendasSem4[[#This Row],[Subtotal]]*(1-VendasSem4[[#This Row],[Desconto]])+VendasSem4[[#This Row],[Valor de Entrega]])</f>
        <v>1.7999999999999998</v>
      </c>
      <c r="M555" s="6" t="str">
        <f>IF(VendasSem4[[#This Row],[Id da Venda]]=B556,"",SUMIF(VendasSem4[Id da Venda],VendasSem4[[#This Row],[Id da Venda]],VendasSem4[Total]))</f>
        <v/>
      </c>
    </row>
    <row r="556" spans="2:13" x14ac:dyDescent="0.25">
      <c r="B556">
        <v>102</v>
      </c>
      <c r="C556" s="7">
        <v>45192</v>
      </c>
      <c r="D556" t="s">
        <v>129</v>
      </c>
      <c r="E556" t="str">
        <f>IFERROR(VLOOKUP(VendasSem4[[#This Row],[Produto]],cálculos!$I$3:$L$50,4,0),"")</f>
        <v>Unidade</v>
      </c>
      <c r="F556">
        <v>2</v>
      </c>
      <c r="G556" s="6">
        <f>IFERROR(VLOOKUP(VendasSem4[[#This Row],[Produto]],cálculos!$I$3:$L$50,3,0),0)</f>
        <v>18.899999999999999</v>
      </c>
      <c r="H556" s="6">
        <f>IFERROR(VendasSem4[[#This Row],[Quantidade]]*VendasSem4[[#This Row],[Preço Unitário]],0)</f>
        <v>37.799999999999997</v>
      </c>
      <c r="I556" s="11"/>
      <c r="J556" t="s">
        <v>108</v>
      </c>
      <c r="K556" s="6">
        <f>IFERROR(IF(VendasSem4[[#This Row],[Id da Venda]]=B557,0,VLOOKUP(VendasSem4[[#This Row],[Região de Entrega]],cálculos!$B$5:$C$9,2,0)),0)</f>
        <v>0</v>
      </c>
      <c r="L556" s="6">
        <f>(VendasSem4[[#This Row],[Subtotal]]*(1-VendasSem4[[#This Row],[Desconto]])+VendasSem4[[#This Row],[Valor de Entrega]])</f>
        <v>37.799999999999997</v>
      </c>
      <c r="M556" s="6" t="str">
        <f>IF(VendasSem4[[#This Row],[Id da Venda]]=B557,"",SUMIF(VendasSem4[Id da Venda],VendasSem4[[#This Row],[Id da Venda]],VendasSem4[Total]))</f>
        <v/>
      </c>
    </row>
    <row r="557" spans="2:13" x14ac:dyDescent="0.25">
      <c r="B557">
        <v>102</v>
      </c>
      <c r="C557" s="7">
        <v>45192</v>
      </c>
      <c r="D557" t="s">
        <v>124</v>
      </c>
      <c r="E557" t="str">
        <f>IFERROR(VLOOKUP(VendasSem4[[#This Row],[Produto]],cálculos!$I$3:$L$50,4,0),"")</f>
        <v>Kg</v>
      </c>
      <c r="F557">
        <v>2</v>
      </c>
      <c r="G557" s="6">
        <f>IFERROR(VLOOKUP(VendasSem4[[#This Row],[Produto]],cálculos!$I$3:$L$50,3,0),0)</f>
        <v>7.8</v>
      </c>
      <c r="H557" s="6">
        <f>IFERROR(VendasSem4[[#This Row],[Quantidade]]*VendasSem4[[#This Row],[Preço Unitário]],0)</f>
        <v>15.6</v>
      </c>
      <c r="I557" s="11"/>
      <c r="J557" t="s">
        <v>108</v>
      </c>
      <c r="K557" s="6">
        <f>IFERROR(IF(VendasSem4[[#This Row],[Id da Venda]]=B558,0,VLOOKUP(VendasSem4[[#This Row],[Região de Entrega]],cálculos!$B$5:$C$9,2,0)),0)</f>
        <v>0</v>
      </c>
      <c r="L557" s="6">
        <f>(VendasSem4[[#This Row],[Subtotal]]*(1-VendasSem4[[#This Row],[Desconto]])+VendasSem4[[#This Row],[Valor de Entrega]])</f>
        <v>15.6</v>
      </c>
      <c r="M557" s="6" t="str">
        <f>IF(VendasSem4[[#This Row],[Id da Venda]]=B558,"",SUMIF(VendasSem4[Id da Venda],VendasSem4[[#This Row],[Id da Venda]],VendasSem4[Total]))</f>
        <v/>
      </c>
    </row>
    <row r="558" spans="2:13" x14ac:dyDescent="0.25">
      <c r="B558">
        <v>102</v>
      </c>
      <c r="C558" s="7">
        <v>45192</v>
      </c>
      <c r="D558" t="s">
        <v>132</v>
      </c>
      <c r="E558" t="str">
        <f>IFERROR(VLOOKUP(VendasSem4[[#This Row],[Produto]],cálculos!$I$3:$L$50,4,0),"")</f>
        <v>Kg</v>
      </c>
      <c r="F558">
        <v>1</v>
      </c>
      <c r="G558" s="6">
        <f>IFERROR(VLOOKUP(VendasSem4[[#This Row],[Produto]],cálculos!$I$3:$L$50,3,0),0)</f>
        <v>2.9</v>
      </c>
      <c r="H558" s="6">
        <f>IFERROR(VendasSem4[[#This Row],[Quantidade]]*VendasSem4[[#This Row],[Preço Unitário]],0)</f>
        <v>2.9</v>
      </c>
      <c r="I558" s="11"/>
      <c r="J558" t="s">
        <v>108</v>
      </c>
      <c r="K558" s="6">
        <f>IFERROR(IF(VendasSem4[[#This Row],[Id da Venda]]=B559,0,VLOOKUP(VendasSem4[[#This Row],[Região de Entrega]],cálculos!$B$5:$C$9,2,0)),0)</f>
        <v>0</v>
      </c>
      <c r="L558" s="6">
        <f>(VendasSem4[[#This Row],[Subtotal]]*(1-VendasSem4[[#This Row],[Desconto]])+VendasSem4[[#This Row],[Valor de Entrega]])</f>
        <v>2.9</v>
      </c>
      <c r="M558" s="6" t="str">
        <f>IF(VendasSem4[[#This Row],[Id da Venda]]=B559,"",SUMIF(VendasSem4[Id da Venda],VendasSem4[[#This Row],[Id da Venda]],VendasSem4[Total]))</f>
        <v/>
      </c>
    </row>
    <row r="559" spans="2:13" x14ac:dyDescent="0.25">
      <c r="B559">
        <v>102</v>
      </c>
      <c r="C559" s="7">
        <v>45192</v>
      </c>
      <c r="D559" t="s">
        <v>126</v>
      </c>
      <c r="E559" t="str">
        <f>IFERROR(VLOOKUP(VendasSem4[[#This Row],[Produto]],cálculos!$I$3:$L$50,4,0),"")</f>
        <v>Unidade</v>
      </c>
      <c r="F559">
        <v>1</v>
      </c>
      <c r="G559" s="6">
        <f>IFERROR(VLOOKUP(VendasSem4[[#This Row],[Produto]],cálculos!$I$3:$L$50,3,0),0)</f>
        <v>7</v>
      </c>
      <c r="H559" s="6">
        <f>IFERROR(VendasSem4[[#This Row],[Quantidade]]*VendasSem4[[#This Row],[Preço Unitário]],0)</f>
        <v>7</v>
      </c>
      <c r="I559" s="11"/>
      <c r="J559" t="s">
        <v>108</v>
      </c>
      <c r="K559" s="6">
        <f>IFERROR(IF(VendasSem4[[#This Row],[Id da Venda]]=B560,0,VLOOKUP(VendasSem4[[#This Row],[Região de Entrega]],cálculos!$B$5:$C$9,2,0)),0)</f>
        <v>10</v>
      </c>
      <c r="L559" s="6">
        <f>(VendasSem4[[#This Row],[Subtotal]]*(1-VendasSem4[[#This Row],[Desconto]])+VendasSem4[[#This Row],[Valor de Entrega]])</f>
        <v>17</v>
      </c>
      <c r="M559" s="6">
        <f>IF(VendasSem4[[#This Row],[Id da Venda]]=B560,"",SUMIF(VendasSem4[Id da Venda],VendasSem4[[#This Row],[Id da Venda]],VendasSem4[Total]))</f>
        <v>84.679999999999993</v>
      </c>
    </row>
    <row r="560" spans="2:13" x14ac:dyDescent="0.25">
      <c r="B560">
        <v>103</v>
      </c>
      <c r="C560" s="7">
        <v>45192</v>
      </c>
      <c r="D560" t="s">
        <v>38</v>
      </c>
      <c r="E560" t="str">
        <f>IFERROR(VLOOKUP(VendasSem4[[#This Row],[Produto]],cálculos!$I$3:$L$50,4,0),"")</f>
        <v>Kg</v>
      </c>
      <c r="F560">
        <v>3</v>
      </c>
      <c r="G560" s="6">
        <f>IFERROR(VLOOKUP(VendasSem4[[#This Row],[Produto]],cálculos!$I$3:$L$50,3,0),0)</f>
        <v>23.9</v>
      </c>
      <c r="H560" s="6">
        <f>IFERROR(VendasSem4[[#This Row],[Quantidade]]*VendasSem4[[#This Row],[Preço Unitário]],0)</f>
        <v>71.699999999999989</v>
      </c>
      <c r="I560" s="11"/>
      <c r="J560" t="s">
        <v>108</v>
      </c>
      <c r="K560" s="6">
        <f>IFERROR(IF(VendasSem4[[#This Row],[Id da Venda]]=B561,0,VLOOKUP(VendasSem4[[#This Row],[Região de Entrega]],cálculos!$B$5:$C$9,2,0)),0)</f>
        <v>0</v>
      </c>
      <c r="L560" s="6">
        <f>(VendasSem4[[#This Row],[Subtotal]]*(1-VendasSem4[[#This Row],[Desconto]])+VendasSem4[[#This Row],[Valor de Entrega]])</f>
        <v>71.699999999999989</v>
      </c>
      <c r="M560" s="6" t="str">
        <f>IF(VendasSem4[[#This Row],[Id da Venda]]=B561,"",SUMIF(VendasSem4[Id da Venda],VendasSem4[[#This Row],[Id da Venda]],VendasSem4[Total]))</f>
        <v/>
      </c>
    </row>
    <row r="561" spans="2:13" x14ac:dyDescent="0.25">
      <c r="B561">
        <v>103</v>
      </c>
      <c r="C561" s="7">
        <v>45192</v>
      </c>
      <c r="D561" t="s">
        <v>32</v>
      </c>
      <c r="E561" t="str">
        <f>IFERROR(VLOOKUP(VendasSem4[[#This Row],[Produto]],cálculos!$I$3:$L$50,4,0),"")</f>
        <v>Kg</v>
      </c>
      <c r="F561">
        <v>10</v>
      </c>
      <c r="G561" s="6">
        <f>IFERROR(VLOOKUP(VendasSem4[[#This Row],[Produto]],cálculos!$I$3:$L$50,3,0),0)</f>
        <v>2.4900000000000002</v>
      </c>
      <c r="H561" s="6">
        <f>IFERROR(VendasSem4[[#This Row],[Quantidade]]*VendasSem4[[#This Row],[Preço Unitário]],0)</f>
        <v>24.900000000000002</v>
      </c>
      <c r="I561" s="11"/>
      <c r="J561" t="s">
        <v>108</v>
      </c>
      <c r="K561" s="6">
        <f>IFERROR(IF(VendasSem4[[#This Row],[Id da Venda]]=B562,0,VLOOKUP(VendasSem4[[#This Row],[Região de Entrega]],cálculos!$B$5:$C$9,2,0)),0)</f>
        <v>0</v>
      </c>
      <c r="L561" s="6">
        <f>(VendasSem4[[#This Row],[Subtotal]]*(1-VendasSem4[[#This Row],[Desconto]])+VendasSem4[[#This Row],[Valor de Entrega]])</f>
        <v>24.900000000000002</v>
      </c>
      <c r="M561" s="6" t="str">
        <f>IF(VendasSem4[[#This Row],[Id da Venda]]=B562,"",SUMIF(VendasSem4[Id da Venda],VendasSem4[[#This Row],[Id da Venda]],VendasSem4[Total]))</f>
        <v/>
      </c>
    </row>
    <row r="562" spans="2:13" x14ac:dyDescent="0.25">
      <c r="B562">
        <v>103</v>
      </c>
      <c r="C562" s="7">
        <v>45192</v>
      </c>
      <c r="D562" t="s">
        <v>33</v>
      </c>
      <c r="E562" t="str">
        <f>IFERROR(VLOOKUP(VendasSem4[[#This Row],[Produto]],cálculos!$I$3:$L$50,4,0),"")</f>
        <v>Kg</v>
      </c>
      <c r="F562">
        <v>2</v>
      </c>
      <c r="G562" s="6">
        <f>IFERROR(VLOOKUP(VendasSem4[[#This Row],[Produto]],cálculos!$I$3:$L$50,3,0),0)</f>
        <v>4.28</v>
      </c>
      <c r="H562" s="6">
        <f>IFERROR(VendasSem4[[#This Row],[Quantidade]]*VendasSem4[[#This Row],[Preço Unitário]],0)</f>
        <v>8.56</v>
      </c>
      <c r="I562" s="11"/>
      <c r="J562" t="s">
        <v>108</v>
      </c>
      <c r="K562" s="6">
        <f>IFERROR(IF(VendasSem4[[#This Row],[Id da Venda]]=B563,0,VLOOKUP(VendasSem4[[#This Row],[Região de Entrega]],cálculos!$B$5:$C$9,2,0)),0)</f>
        <v>10</v>
      </c>
      <c r="L562" s="6">
        <f>(VendasSem4[[#This Row],[Subtotal]]*(1-VendasSem4[[#This Row],[Desconto]])+VendasSem4[[#This Row],[Valor de Entrega]])</f>
        <v>18.560000000000002</v>
      </c>
      <c r="M562" s="6">
        <f>IF(VendasSem4[[#This Row],[Id da Venda]]=B563,"",SUMIF(VendasSem4[Id da Venda],VendasSem4[[#This Row],[Id da Venda]],VendasSem4[Total]))</f>
        <v>115.16</v>
      </c>
    </row>
    <row r="563" spans="2:13" x14ac:dyDescent="0.25">
      <c r="B563">
        <v>104</v>
      </c>
      <c r="C563" s="7">
        <v>45192</v>
      </c>
      <c r="D563" t="s">
        <v>45</v>
      </c>
      <c r="E563" t="str">
        <f>IFERROR(VLOOKUP(VendasSem4[[#This Row],[Produto]],cálculos!$I$3:$L$50,4,0),"")</f>
        <v>Lata</v>
      </c>
      <c r="F563">
        <v>150</v>
      </c>
      <c r="G563" s="6">
        <f>IFERROR(VLOOKUP(VendasSem4[[#This Row],[Produto]],cálculos!$I$3:$L$50,3,0),0)</f>
        <v>2.19</v>
      </c>
      <c r="H563" s="6">
        <f>IFERROR(VendasSem4[[#This Row],[Quantidade]]*VendasSem4[[#This Row],[Preço Unitário]],0)</f>
        <v>328.5</v>
      </c>
      <c r="I563" s="11"/>
      <c r="J563" t="s">
        <v>112</v>
      </c>
      <c r="K563" s="6">
        <f>IFERROR(IF(VendasSem4[[#This Row],[Id da Venda]]=B564,0,VLOOKUP(VendasSem4[[#This Row],[Região de Entrega]],cálculos!$B$5:$C$9,2,0)),0)</f>
        <v>0</v>
      </c>
      <c r="L563" s="6">
        <f>(VendasSem4[[#This Row],[Subtotal]]*(1-VendasSem4[[#This Row],[Desconto]])+VendasSem4[[#This Row],[Valor de Entrega]])</f>
        <v>328.5</v>
      </c>
      <c r="M563" s="6" t="str">
        <f>IF(VendasSem4[[#This Row],[Id da Venda]]=B564,"",SUMIF(VendasSem4[Id da Venda],VendasSem4[[#This Row],[Id da Venda]],VendasSem4[Total]))</f>
        <v/>
      </c>
    </row>
    <row r="564" spans="2:13" x14ac:dyDescent="0.25">
      <c r="B564">
        <v>104</v>
      </c>
      <c r="C564" s="7">
        <v>45192</v>
      </c>
      <c r="D564" t="s">
        <v>46</v>
      </c>
      <c r="E564" t="str">
        <f>IFERROR(VLOOKUP(VendasSem4[[#This Row],[Produto]],cálculos!$I$3:$L$50,4,0),"")</f>
        <v>Garrafa</v>
      </c>
      <c r="F564">
        <v>50</v>
      </c>
      <c r="G564" s="6">
        <f>IFERROR(VLOOKUP(VendasSem4[[#This Row],[Produto]],cálculos!$I$3:$L$50,3,0),0)</f>
        <v>54.9</v>
      </c>
      <c r="H564" s="6">
        <f>IFERROR(VendasSem4[[#This Row],[Quantidade]]*VendasSem4[[#This Row],[Preço Unitário]],0)</f>
        <v>2745</v>
      </c>
      <c r="I564" s="11"/>
      <c r="J564" t="s">
        <v>112</v>
      </c>
      <c r="K564" s="6">
        <f>IFERROR(IF(VendasSem4[[#This Row],[Id da Venda]]=B565,0,VLOOKUP(VendasSem4[[#This Row],[Região de Entrega]],cálculos!$B$5:$C$9,2,0)),0)</f>
        <v>0</v>
      </c>
      <c r="L564" s="6">
        <f>(VendasSem4[[#This Row],[Subtotal]]*(1-VendasSem4[[#This Row],[Desconto]])+VendasSem4[[#This Row],[Valor de Entrega]])</f>
        <v>2745</v>
      </c>
      <c r="M564" s="6" t="str">
        <f>IF(VendasSem4[[#This Row],[Id da Venda]]=B565,"",SUMIF(VendasSem4[Id da Venda],VendasSem4[[#This Row],[Id da Venda]],VendasSem4[Total]))</f>
        <v/>
      </c>
    </row>
    <row r="565" spans="2:13" x14ac:dyDescent="0.25">
      <c r="B565">
        <v>104</v>
      </c>
      <c r="C565" s="7">
        <v>45192</v>
      </c>
      <c r="D565" t="s">
        <v>40</v>
      </c>
      <c r="E565" t="str">
        <f>IFERROR(VLOOKUP(VendasSem4[[#This Row],[Produto]],cálculos!$I$3:$L$50,4,0),"")</f>
        <v>Garrafa</v>
      </c>
      <c r="F565">
        <v>25</v>
      </c>
      <c r="G565" s="6">
        <f>IFERROR(VLOOKUP(VendasSem4[[#This Row],[Produto]],cálculos!$I$3:$L$50,3,0),0)</f>
        <v>29.9</v>
      </c>
      <c r="H565" s="6">
        <f>IFERROR(VendasSem4[[#This Row],[Quantidade]]*VendasSem4[[#This Row],[Preço Unitário]],0)</f>
        <v>747.5</v>
      </c>
      <c r="I565" s="11"/>
      <c r="J565" t="s">
        <v>112</v>
      </c>
      <c r="K565" s="6">
        <f>IFERROR(IF(VendasSem4[[#This Row],[Id da Venda]]=B566,0,VLOOKUP(VendasSem4[[#This Row],[Região de Entrega]],cálculos!$B$5:$C$9,2,0)),0)</f>
        <v>0</v>
      </c>
      <c r="L565" s="6">
        <f>(VendasSem4[[#This Row],[Subtotal]]*(1-VendasSem4[[#This Row],[Desconto]])+VendasSem4[[#This Row],[Valor de Entrega]])</f>
        <v>747.5</v>
      </c>
      <c r="M565" s="6" t="str">
        <f>IF(VendasSem4[[#This Row],[Id da Venda]]=B566,"",SUMIF(VendasSem4[Id da Venda],VendasSem4[[#This Row],[Id da Venda]],VendasSem4[Total]))</f>
        <v/>
      </c>
    </row>
    <row r="566" spans="2:13" x14ac:dyDescent="0.25">
      <c r="B566">
        <v>104</v>
      </c>
      <c r="C566" s="7">
        <v>45192</v>
      </c>
      <c r="D566" t="s">
        <v>72</v>
      </c>
      <c r="E566" t="str">
        <f>IFERROR(VLOOKUP(VendasSem4[[#This Row],[Produto]],cálculos!$I$3:$L$50,4,0),"")</f>
        <v>Litro</v>
      </c>
      <c r="F566">
        <v>50</v>
      </c>
      <c r="G566" s="6">
        <f>IFERROR(VLOOKUP(VendasSem4[[#This Row],[Produto]],cálculos!$I$3:$L$50,3,0),0)</f>
        <v>2.39</v>
      </c>
      <c r="H566" s="6">
        <f>IFERROR(VendasSem4[[#This Row],[Quantidade]]*VendasSem4[[#This Row],[Preço Unitário]],0)</f>
        <v>119.5</v>
      </c>
      <c r="I566" s="11"/>
      <c r="J566" t="s">
        <v>112</v>
      </c>
      <c r="K566" s="6">
        <f>IFERROR(IF(VendasSem4[[#This Row],[Id da Venda]]=B567,0,VLOOKUP(VendasSem4[[#This Row],[Região de Entrega]],cálculos!$B$5:$C$9,2,0)),0)</f>
        <v>7</v>
      </c>
      <c r="L566" s="6">
        <f>(VendasSem4[[#This Row],[Subtotal]]*(1-VendasSem4[[#This Row],[Desconto]])+VendasSem4[[#This Row],[Valor de Entrega]])</f>
        <v>126.5</v>
      </c>
      <c r="M566" s="6">
        <f>IF(VendasSem4[[#This Row],[Id da Venda]]=B567,"",SUMIF(VendasSem4[Id da Venda],VendasSem4[[#This Row],[Id da Venda]],VendasSem4[Total]))</f>
        <v>3947.5</v>
      </c>
    </row>
    <row r="568" spans="2:13" ht="18.75" x14ac:dyDescent="0.3">
      <c r="B568" s="26" t="s">
        <v>113</v>
      </c>
      <c r="C568" s="27"/>
      <c r="D568" s="27"/>
      <c r="E568" s="28"/>
      <c r="F568" s="27"/>
      <c r="G568" s="27"/>
      <c r="H568" s="27"/>
      <c r="I568" s="27"/>
      <c r="J568" s="27"/>
      <c r="K568" s="27"/>
      <c r="L568" s="27"/>
      <c r="M568" s="29">
        <f>SUM(VendasSem4[[#All],[Total para Cliente]])-M569</f>
        <v>45303.203000000009</v>
      </c>
    </row>
    <row r="569" spans="2:13" ht="18.75" x14ac:dyDescent="0.3">
      <c r="B569" s="30" t="s">
        <v>114</v>
      </c>
      <c r="C569" s="31"/>
      <c r="D569" s="31"/>
      <c r="E569" s="31"/>
      <c r="F569" s="31"/>
      <c r="G569" s="31"/>
      <c r="H569" s="31"/>
      <c r="I569" s="31"/>
      <c r="J569" s="31"/>
      <c r="K569" s="31"/>
      <c r="L569" s="31"/>
      <c r="M569" s="32">
        <f>SUM(VendasSem4[Valor de Entrega])</f>
        <v>392</v>
      </c>
    </row>
    <row r="570" spans="2:13" ht="18.75" x14ac:dyDescent="0.3">
      <c r="B570" s="30" t="s">
        <v>149</v>
      </c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52" cm="1">
        <f t="array" ref="M570">SUM(IF(FREQUENCY(VendasSem4[Id da Venda],VendasSem4[Id da Venda])&gt;0,1,0))</f>
        <v>72</v>
      </c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4E65251-D775-4B2C-9183-3BD0A0280332}">
          <x14:formula1>
            <xm:f>cálculos!$B$5:$B$9</xm:f>
          </x14:formula1>
          <xm:sqref>J5:J566</xm:sqref>
        </x14:dataValidation>
        <x14:dataValidation type="list" allowBlank="1" showInputMessage="1" showErrorMessage="1" xr:uid="{72533252-1F35-413C-BB7F-AC069AAFD7AF}">
          <x14:formula1>
            <xm:f>cálculos!$I$3:$I$100</xm:f>
          </x14:formula1>
          <xm:sqref>D5:D566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06AA6-B3BF-40CB-A27B-C0B40B6B53F1}">
  <dimension ref="A4:J202"/>
  <sheetViews>
    <sheetView showGridLines="0" workbookViewId="0">
      <selection activeCell="J16" sqref="J16"/>
    </sheetView>
  </sheetViews>
  <sheetFormatPr defaultRowHeight="15" x14ac:dyDescent="0.25"/>
  <cols>
    <col min="1" max="1" width="19.42578125" bestFit="1" customWidth="1"/>
    <col min="2" max="2" width="19.85546875" bestFit="1" customWidth="1"/>
    <col min="3" max="3" width="13.7109375" bestFit="1" customWidth="1"/>
    <col min="7" max="7" width="18.42578125" bestFit="1" customWidth="1"/>
    <col min="8" max="8" width="19.85546875" bestFit="1" customWidth="1"/>
    <col min="9" max="9" width="24.140625" bestFit="1" customWidth="1"/>
    <col min="10" max="10" width="13.7109375" bestFit="1" customWidth="1"/>
  </cols>
  <sheetData>
    <row r="4" spans="1:10" x14ac:dyDescent="0.25">
      <c r="A4" s="75" t="s">
        <v>167</v>
      </c>
      <c r="B4" t="s">
        <v>169</v>
      </c>
      <c r="C4" t="s">
        <v>170</v>
      </c>
      <c r="G4" s="75" t="s">
        <v>167</v>
      </c>
      <c r="H4" t="s">
        <v>169</v>
      </c>
      <c r="I4" t="s">
        <v>171</v>
      </c>
      <c r="J4" t="s">
        <v>170</v>
      </c>
    </row>
    <row r="5" spans="1:10" x14ac:dyDescent="0.25">
      <c r="A5" s="76">
        <v>45187</v>
      </c>
      <c r="B5">
        <v>493</v>
      </c>
      <c r="C5" s="77">
        <v>3030.57</v>
      </c>
      <c r="G5" s="79" t="s">
        <v>108</v>
      </c>
      <c r="H5" s="77">
        <v>694.7</v>
      </c>
      <c r="I5" s="77">
        <v>140</v>
      </c>
      <c r="J5" s="77">
        <v>8380.9439999999959</v>
      </c>
    </row>
    <row r="6" spans="1:10" x14ac:dyDescent="0.25">
      <c r="A6" s="78" t="s">
        <v>35</v>
      </c>
      <c r="B6">
        <v>4</v>
      </c>
      <c r="C6" s="77">
        <v>11.96</v>
      </c>
      <c r="G6" s="79" t="s">
        <v>109</v>
      </c>
      <c r="H6" s="77">
        <v>1126.7</v>
      </c>
      <c r="I6" s="77">
        <v>0</v>
      </c>
      <c r="J6" s="77">
        <v>22513.375999999993</v>
      </c>
    </row>
    <row r="7" spans="1:10" x14ac:dyDescent="0.25">
      <c r="A7" s="78" t="s">
        <v>44</v>
      </c>
      <c r="B7">
        <v>1</v>
      </c>
      <c r="C7" s="77">
        <v>1.1499999999999999</v>
      </c>
      <c r="G7" s="79" t="s">
        <v>112</v>
      </c>
      <c r="H7" s="77">
        <v>714</v>
      </c>
      <c r="I7" s="77">
        <v>98</v>
      </c>
      <c r="J7" s="77">
        <v>7249.83</v>
      </c>
    </row>
    <row r="8" spans="1:10" x14ac:dyDescent="0.25">
      <c r="A8" s="78" t="s">
        <v>32</v>
      </c>
      <c r="B8">
        <v>10</v>
      </c>
      <c r="C8" s="77">
        <v>24.900000000000002</v>
      </c>
      <c r="G8" s="79" t="s">
        <v>111</v>
      </c>
      <c r="H8" s="77">
        <v>326</v>
      </c>
      <c r="I8" s="77">
        <v>90</v>
      </c>
      <c r="J8" s="77">
        <v>3725.8799999999997</v>
      </c>
    </row>
    <row r="9" spans="1:10" x14ac:dyDescent="0.25">
      <c r="A9" s="78" t="s">
        <v>56</v>
      </c>
      <c r="B9">
        <v>2</v>
      </c>
      <c r="C9" s="77">
        <v>3.98</v>
      </c>
      <c r="G9" s="79" t="s">
        <v>110</v>
      </c>
      <c r="H9" s="77">
        <v>584.09999999999991</v>
      </c>
      <c r="I9" s="77">
        <v>64</v>
      </c>
      <c r="J9" s="77">
        <v>3825.1729999999993</v>
      </c>
    </row>
    <row r="10" spans="1:10" x14ac:dyDescent="0.25">
      <c r="A10" s="78" t="s">
        <v>119</v>
      </c>
      <c r="B10">
        <v>1</v>
      </c>
      <c r="C10" s="77">
        <v>6.8</v>
      </c>
      <c r="G10" s="79" t="s">
        <v>168</v>
      </c>
      <c r="H10" s="77">
        <v>3445.5</v>
      </c>
      <c r="I10" s="77">
        <v>392</v>
      </c>
      <c r="J10" s="77">
        <v>45695.202999999987</v>
      </c>
    </row>
    <row r="11" spans="1:10" x14ac:dyDescent="0.25">
      <c r="A11" s="78" t="s">
        <v>36</v>
      </c>
      <c r="B11">
        <v>8</v>
      </c>
      <c r="C11" s="77">
        <v>127.2</v>
      </c>
    </row>
    <row r="12" spans="1:10" x14ac:dyDescent="0.25">
      <c r="A12" s="78" t="s">
        <v>42</v>
      </c>
      <c r="B12">
        <v>3</v>
      </c>
      <c r="C12" s="77">
        <v>11.97</v>
      </c>
    </row>
    <row r="13" spans="1:10" x14ac:dyDescent="0.25">
      <c r="A13" s="78" t="s">
        <v>45</v>
      </c>
      <c r="B13">
        <v>190</v>
      </c>
      <c r="C13" s="77">
        <v>416.09999999999997</v>
      </c>
    </row>
    <row r="14" spans="1:10" x14ac:dyDescent="0.25">
      <c r="A14" s="78" t="s">
        <v>57</v>
      </c>
      <c r="B14">
        <v>2</v>
      </c>
      <c r="C14" s="77">
        <v>9.98</v>
      </c>
    </row>
    <row r="15" spans="1:10" x14ac:dyDescent="0.25">
      <c r="A15" s="78" t="s">
        <v>47</v>
      </c>
      <c r="B15">
        <v>2</v>
      </c>
      <c r="C15" s="77">
        <v>5.2</v>
      </c>
    </row>
    <row r="16" spans="1:10" x14ac:dyDescent="0.25">
      <c r="A16" s="78" t="s">
        <v>33</v>
      </c>
      <c r="B16">
        <v>6</v>
      </c>
      <c r="C16" s="77">
        <v>25.68</v>
      </c>
    </row>
    <row r="17" spans="1:3" x14ac:dyDescent="0.25">
      <c r="A17" s="78" t="s">
        <v>37</v>
      </c>
      <c r="B17">
        <v>5</v>
      </c>
      <c r="C17" s="77">
        <v>34.900000000000006</v>
      </c>
    </row>
    <row r="18" spans="1:3" x14ac:dyDescent="0.25">
      <c r="A18" s="78" t="s">
        <v>120</v>
      </c>
      <c r="B18">
        <v>2</v>
      </c>
      <c r="C18" s="77">
        <v>9</v>
      </c>
    </row>
    <row r="19" spans="1:3" x14ac:dyDescent="0.25">
      <c r="A19" s="78" t="s">
        <v>66</v>
      </c>
      <c r="B19">
        <v>30</v>
      </c>
      <c r="C19" s="77">
        <v>57.5</v>
      </c>
    </row>
    <row r="20" spans="1:3" x14ac:dyDescent="0.25">
      <c r="A20" s="78" t="s">
        <v>38</v>
      </c>
      <c r="B20">
        <v>4</v>
      </c>
      <c r="C20" s="77">
        <v>95.6</v>
      </c>
    </row>
    <row r="21" spans="1:3" x14ac:dyDescent="0.25">
      <c r="A21" s="78" t="s">
        <v>72</v>
      </c>
      <c r="B21">
        <v>104</v>
      </c>
      <c r="C21" s="77">
        <v>248.56</v>
      </c>
    </row>
    <row r="22" spans="1:3" x14ac:dyDescent="0.25">
      <c r="A22" s="78" t="s">
        <v>34</v>
      </c>
      <c r="B22">
        <v>5</v>
      </c>
      <c r="C22" s="77">
        <v>29.1</v>
      </c>
    </row>
    <row r="23" spans="1:3" x14ac:dyDescent="0.25">
      <c r="A23" s="78" t="s">
        <v>40</v>
      </c>
      <c r="B23">
        <v>25</v>
      </c>
      <c r="C23" s="77">
        <v>747.5</v>
      </c>
    </row>
    <row r="24" spans="1:3" x14ac:dyDescent="0.25">
      <c r="A24" s="78" t="s">
        <v>46</v>
      </c>
      <c r="B24">
        <v>15</v>
      </c>
      <c r="C24" s="77">
        <v>823.5</v>
      </c>
    </row>
    <row r="25" spans="1:3" x14ac:dyDescent="0.25">
      <c r="A25" s="78" t="s">
        <v>43</v>
      </c>
      <c r="B25">
        <v>2</v>
      </c>
      <c r="C25" s="77">
        <v>19.16</v>
      </c>
    </row>
    <row r="26" spans="1:3" x14ac:dyDescent="0.25">
      <c r="A26" s="78" t="s">
        <v>71</v>
      </c>
      <c r="B26">
        <v>2</v>
      </c>
      <c r="C26" s="77">
        <v>5.78</v>
      </c>
    </row>
    <row r="27" spans="1:3" x14ac:dyDescent="0.25">
      <c r="A27" s="78" t="s">
        <v>39</v>
      </c>
      <c r="B27">
        <v>1</v>
      </c>
      <c r="C27" s="77">
        <v>25.9</v>
      </c>
    </row>
    <row r="28" spans="1:3" x14ac:dyDescent="0.25">
      <c r="A28" s="78" t="s">
        <v>59</v>
      </c>
      <c r="B28">
        <v>1</v>
      </c>
      <c r="C28" s="77">
        <v>1.1499999999999999</v>
      </c>
    </row>
    <row r="29" spans="1:3" x14ac:dyDescent="0.25">
      <c r="A29" s="78" t="s">
        <v>122</v>
      </c>
      <c r="B29">
        <v>4</v>
      </c>
      <c r="C29" s="77">
        <v>28</v>
      </c>
    </row>
    <row r="30" spans="1:3" x14ac:dyDescent="0.25">
      <c r="A30" s="78" t="s">
        <v>41</v>
      </c>
      <c r="B30">
        <v>60</v>
      </c>
      <c r="C30" s="77">
        <v>207</v>
      </c>
    </row>
    <row r="31" spans="1:3" x14ac:dyDescent="0.25">
      <c r="A31" s="78" t="s">
        <v>121</v>
      </c>
      <c r="B31">
        <v>3</v>
      </c>
      <c r="C31" s="77">
        <v>36</v>
      </c>
    </row>
    <row r="32" spans="1:3" x14ac:dyDescent="0.25">
      <c r="A32" s="78" t="s">
        <v>126</v>
      </c>
      <c r="B32">
        <v>1</v>
      </c>
      <c r="C32" s="77">
        <v>17</v>
      </c>
    </row>
    <row r="33" spans="1:3" x14ac:dyDescent="0.25">
      <c r="A33" s="76">
        <v>45188</v>
      </c>
      <c r="B33">
        <v>221.5</v>
      </c>
      <c r="C33" s="77">
        <v>1537.8500000000004</v>
      </c>
    </row>
    <row r="34" spans="1:3" x14ac:dyDescent="0.25">
      <c r="A34" s="78" t="s">
        <v>35</v>
      </c>
      <c r="B34">
        <v>4</v>
      </c>
      <c r="C34" s="77">
        <v>11.96</v>
      </c>
    </row>
    <row r="35" spans="1:3" x14ac:dyDescent="0.25">
      <c r="A35" s="78" t="s">
        <v>32</v>
      </c>
      <c r="B35">
        <v>20</v>
      </c>
      <c r="C35" s="77">
        <v>49.800000000000004</v>
      </c>
    </row>
    <row r="36" spans="1:3" x14ac:dyDescent="0.25">
      <c r="A36" s="78" t="s">
        <v>119</v>
      </c>
      <c r="B36">
        <v>0.5</v>
      </c>
      <c r="C36" s="77">
        <v>3.4</v>
      </c>
    </row>
    <row r="37" spans="1:3" x14ac:dyDescent="0.25">
      <c r="A37" s="78" t="s">
        <v>36</v>
      </c>
      <c r="B37">
        <v>22</v>
      </c>
      <c r="C37" s="77">
        <v>349.8</v>
      </c>
    </row>
    <row r="38" spans="1:3" x14ac:dyDescent="0.25">
      <c r="A38" s="78" t="s">
        <v>42</v>
      </c>
      <c r="B38">
        <v>3</v>
      </c>
      <c r="C38" s="77">
        <v>11.97</v>
      </c>
    </row>
    <row r="39" spans="1:3" x14ac:dyDescent="0.25">
      <c r="A39" s="78" t="s">
        <v>45</v>
      </c>
      <c r="B39">
        <v>100</v>
      </c>
      <c r="C39" s="77">
        <v>219</v>
      </c>
    </row>
    <row r="40" spans="1:3" x14ac:dyDescent="0.25">
      <c r="A40" s="78" t="s">
        <v>33</v>
      </c>
      <c r="B40">
        <v>7</v>
      </c>
      <c r="C40" s="77">
        <v>29.96</v>
      </c>
    </row>
    <row r="41" spans="1:3" x14ac:dyDescent="0.25">
      <c r="A41" s="78" t="s">
        <v>120</v>
      </c>
      <c r="B41">
        <v>3</v>
      </c>
      <c r="C41" s="77">
        <v>13.5</v>
      </c>
    </row>
    <row r="42" spans="1:3" x14ac:dyDescent="0.25">
      <c r="A42" s="78" t="s">
        <v>66</v>
      </c>
      <c r="B42">
        <v>4</v>
      </c>
      <c r="C42" s="77">
        <v>5.96</v>
      </c>
    </row>
    <row r="43" spans="1:3" x14ac:dyDescent="0.25">
      <c r="A43" s="78" t="s">
        <v>34</v>
      </c>
      <c r="B43">
        <v>22</v>
      </c>
      <c r="C43" s="77">
        <v>128.04</v>
      </c>
    </row>
    <row r="44" spans="1:3" x14ac:dyDescent="0.25">
      <c r="A44" s="78" t="s">
        <v>46</v>
      </c>
      <c r="B44">
        <v>10</v>
      </c>
      <c r="C44" s="77">
        <v>549</v>
      </c>
    </row>
    <row r="45" spans="1:3" x14ac:dyDescent="0.25">
      <c r="A45" s="78" t="s">
        <v>43</v>
      </c>
      <c r="B45">
        <v>2</v>
      </c>
      <c r="C45" s="77">
        <v>19.16</v>
      </c>
    </row>
    <row r="46" spans="1:3" x14ac:dyDescent="0.25">
      <c r="A46" s="78" t="s">
        <v>39</v>
      </c>
      <c r="B46">
        <v>1</v>
      </c>
      <c r="C46" s="77">
        <v>25.9</v>
      </c>
    </row>
    <row r="47" spans="1:3" x14ac:dyDescent="0.25">
      <c r="A47" s="78" t="s">
        <v>41</v>
      </c>
      <c r="B47">
        <v>2</v>
      </c>
      <c r="C47" s="77">
        <v>6.9</v>
      </c>
    </row>
    <row r="48" spans="1:3" x14ac:dyDescent="0.25">
      <c r="A48" s="78" t="s">
        <v>132</v>
      </c>
      <c r="B48">
        <v>5</v>
      </c>
      <c r="C48" s="77">
        <v>24.5</v>
      </c>
    </row>
    <row r="49" spans="1:3" x14ac:dyDescent="0.25">
      <c r="A49" s="78" t="s">
        <v>137</v>
      </c>
      <c r="B49">
        <v>2</v>
      </c>
      <c r="C49" s="77">
        <v>14</v>
      </c>
    </row>
    <row r="50" spans="1:3" x14ac:dyDescent="0.25">
      <c r="A50" s="78" t="s">
        <v>135</v>
      </c>
      <c r="B50">
        <v>1</v>
      </c>
      <c r="C50" s="77">
        <v>5</v>
      </c>
    </row>
    <row r="51" spans="1:3" x14ac:dyDescent="0.25">
      <c r="A51" s="78" t="s">
        <v>131</v>
      </c>
      <c r="B51">
        <v>1</v>
      </c>
      <c r="C51" s="77">
        <v>3</v>
      </c>
    </row>
    <row r="52" spans="1:3" x14ac:dyDescent="0.25">
      <c r="A52" s="78" t="s">
        <v>136</v>
      </c>
      <c r="B52">
        <v>2</v>
      </c>
      <c r="C52" s="77">
        <v>27</v>
      </c>
    </row>
    <row r="53" spans="1:3" x14ac:dyDescent="0.25">
      <c r="A53" s="78" t="s">
        <v>118</v>
      </c>
      <c r="B53">
        <v>10</v>
      </c>
      <c r="C53" s="77">
        <v>40</v>
      </c>
    </row>
    <row r="54" spans="1:3" x14ac:dyDescent="0.25">
      <c r="A54" s="76">
        <v>45189</v>
      </c>
      <c r="B54">
        <v>1091.3</v>
      </c>
      <c r="C54" s="77">
        <v>12664.008000000002</v>
      </c>
    </row>
    <row r="55" spans="1:3" x14ac:dyDescent="0.25">
      <c r="A55" s="78" t="s">
        <v>35</v>
      </c>
      <c r="B55">
        <v>10</v>
      </c>
      <c r="C55" s="77">
        <v>29.900000000000002</v>
      </c>
    </row>
    <row r="56" spans="1:3" x14ac:dyDescent="0.25">
      <c r="A56" s="78" t="s">
        <v>44</v>
      </c>
      <c r="B56">
        <v>2</v>
      </c>
      <c r="C56" s="77">
        <v>2.2999999999999998</v>
      </c>
    </row>
    <row r="57" spans="1:3" x14ac:dyDescent="0.25">
      <c r="A57" s="78" t="s">
        <v>32</v>
      </c>
      <c r="B57">
        <v>130</v>
      </c>
      <c r="C57" s="77">
        <v>323.7</v>
      </c>
    </row>
    <row r="58" spans="1:3" x14ac:dyDescent="0.25">
      <c r="A58" s="78" t="s">
        <v>56</v>
      </c>
      <c r="B58">
        <v>3</v>
      </c>
      <c r="C58" s="77">
        <v>5.97</v>
      </c>
    </row>
    <row r="59" spans="1:3" x14ac:dyDescent="0.25">
      <c r="A59" s="78" t="s">
        <v>119</v>
      </c>
      <c r="B59">
        <v>1.8</v>
      </c>
      <c r="C59" s="77">
        <v>12.24</v>
      </c>
    </row>
    <row r="60" spans="1:3" x14ac:dyDescent="0.25">
      <c r="A60" s="78" t="s">
        <v>48</v>
      </c>
      <c r="B60">
        <v>2</v>
      </c>
      <c r="C60" s="77">
        <v>1.58</v>
      </c>
    </row>
    <row r="61" spans="1:3" x14ac:dyDescent="0.25">
      <c r="A61" s="78" t="s">
        <v>36</v>
      </c>
      <c r="B61">
        <v>28</v>
      </c>
      <c r="C61" s="77">
        <v>445.20000000000005</v>
      </c>
    </row>
    <row r="62" spans="1:3" x14ac:dyDescent="0.25">
      <c r="A62" s="78" t="s">
        <v>42</v>
      </c>
      <c r="B62">
        <v>15</v>
      </c>
      <c r="C62" s="77">
        <v>59.850000000000009</v>
      </c>
    </row>
    <row r="63" spans="1:3" x14ac:dyDescent="0.25">
      <c r="A63" s="78" t="s">
        <v>45</v>
      </c>
      <c r="B63">
        <v>165</v>
      </c>
      <c r="C63" s="77">
        <v>361.35</v>
      </c>
    </row>
    <row r="64" spans="1:3" x14ac:dyDescent="0.25">
      <c r="A64" s="78" t="s">
        <v>57</v>
      </c>
      <c r="B64">
        <v>6</v>
      </c>
      <c r="C64" s="77">
        <v>29.94</v>
      </c>
    </row>
    <row r="65" spans="1:3" x14ac:dyDescent="0.25">
      <c r="A65" s="78" t="s">
        <v>33</v>
      </c>
      <c r="B65">
        <v>66</v>
      </c>
      <c r="C65" s="77">
        <v>289.48</v>
      </c>
    </row>
    <row r="66" spans="1:3" x14ac:dyDescent="0.25">
      <c r="A66" s="78" t="s">
        <v>37</v>
      </c>
      <c r="B66">
        <v>25</v>
      </c>
      <c r="C66" s="77">
        <v>184.5</v>
      </c>
    </row>
    <row r="67" spans="1:3" x14ac:dyDescent="0.25">
      <c r="A67" s="78" t="s">
        <v>120</v>
      </c>
      <c r="B67">
        <v>13.7</v>
      </c>
      <c r="C67" s="77">
        <v>61.65</v>
      </c>
    </row>
    <row r="68" spans="1:3" x14ac:dyDescent="0.25">
      <c r="A68" s="78" t="s">
        <v>66</v>
      </c>
      <c r="B68">
        <v>39</v>
      </c>
      <c r="C68" s="77">
        <v>68.11</v>
      </c>
    </row>
    <row r="69" spans="1:3" x14ac:dyDescent="0.25">
      <c r="A69" s="78" t="s">
        <v>38</v>
      </c>
      <c r="B69">
        <v>28.8</v>
      </c>
      <c r="C69" s="77">
        <v>688.31999999999994</v>
      </c>
    </row>
    <row r="70" spans="1:3" x14ac:dyDescent="0.25">
      <c r="A70" s="78" t="s">
        <v>72</v>
      </c>
      <c r="B70">
        <v>171</v>
      </c>
      <c r="C70" s="77">
        <v>421.48999999999995</v>
      </c>
    </row>
    <row r="71" spans="1:3" x14ac:dyDescent="0.25">
      <c r="A71" s="78" t="s">
        <v>34</v>
      </c>
      <c r="B71">
        <v>21</v>
      </c>
      <c r="C71" s="77">
        <v>122.22</v>
      </c>
    </row>
    <row r="72" spans="1:3" x14ac:dyDescent="0.25">
      <c r="A72" s="78" t="s">
        <v>40</v>
      </c>
      <c r="B72">
        <v>168</v>
      </c>
      <c r="C72" s="77">
        <v>5038.2</v>
      </c>
    </row>
    <row r="73" spans="1:3" x14ac:dyDescent="0.25">
      <c r="A73" s="78" t="s">
        <v>46</v>
      </c>
      <c r="B73">
        <v>65</v>
      </c>
      <c r="C73" s="77">
        <v>3431.25</v>
      </c>
    </row>
    <row r="74" spans="1:3" x14ac:dyDescent="0.25">
      <c r="A74" s="78" t="s">
        <v>43</v>
      </c>
      <c r="B74">
        <v>7.1</v>
      </c>
      <c r="C74" s="77">
        <v>88.018000000000001</v>
      </c>
    </row>
    <row r="75" spans="1:3" x14ac:dyDescent="0.25">
      <c r="A75" s="78" t="s">
        <v>71</v>
      </c>
      <c r="B75">
        <v>8</v>
      </c>
      <c r="C75" s="77">
        <v>30.120000000000005</v>
      </c>
    </row>
    <row r="76" spans="1:3" x14ac:dyDescent="0.25">
      <c r="A76" s="78" t="s">
        <v>39</v>
      </c>
      <c r="B76">
        <v>3.8</v>
      </c>
      <c r="C76" s="77">
        <v>98.419999999999987</v>
      </c>
    </row>
    <row r="77" spans="1:3" x14ac:dyDescent="0.25">
      <c r="A77" s="78" t="s">
        <v>122</v>
      </c>
      <c r="B77">
        <v>4</v>
      </c>
      <c r="C77" s="77">
        <v>28</v>
      </c>
    </row>
    <row r="78" spans="1:3" x14ac:dyDescent="0.25">
      <c r="A78" s="78" t="s">
        <v>41</v>
      </c>
      <c r="B78">
        <v>15</v>
      </c>
      <c r="C78" s="77">
        <v>51.75</v>
      </c>
    </row>
    <row r="79" spans="1:3" x14ac:dyDescent="0.25">
      <c r="A79" s="78" t="s">
        <v>121</v>
      </c>
      <c r="B79">
        <v>12</v>
      </c>
      <c r="C79" s="77">
        <v>151</v>
      </c>
    </row>
    <row r="80" spans="1:3" x14ac:dyDescent="0.25">
      <c r="A80" s="78" t="s">
        <v>126</v>
      </c>
      <c r="B80">
        <v>6</v>
      </c>
      <c r="C80" s="77">
        <v>42</v>
      </c>
    </row>
    <row r="81" spans="1:3" x14ac:dyDescent="0.25">
      <c r="A81" s="78" t="s">
        <v>132</v>
      </c>
      <c r="B81">
        <v>5.5</v>
      </c>
      <c r="C81" s="77">
        <v>15.95</v>
      </c>
    </row>
    <row r="82" spans="1:3" x14ac:dyDescent="0.25">
      <c r="A82" s="78" t="s">
        <v>137</v>
      </c>
      <c r="B82">
        <v>2.8</v>
      </c>
      <c r="C82" s="77">
        <v>19.600000000000001</v>
      </c>
    </row>
    <row r="83" spans="1:3" x14ac:dyDescent="0.25">
      <c r="A83" s="78" t="s">
        <v>135</v>
      </c>
      <c r="B83">
        <v>0.9</v>
      </c>
      <c r="C83" s="77">
        <v>17.3</v>
      </c>
    </row>
    <row r="84" spans="1:3" x14ac:dyDescent="0.25">
      <c r="A84" s="78" t="s">
        <v>131</v>
      </c>
      <c r="B84">
        <v>9.5</v>
      </c>
      <c r="C84" s="77">
        <v>48.5</v>
      </c>
    </row>
    <row r="85" spans="1:3" x14ac:dyDescent="0.25">
      <c r="A85" s="78" t="s">
        <v>136</v>
      </c>
      <c r="B85">
        <v>1</v>
      </c>
      <c r="C85" s="77">
        <v>10</v>
      </c>
    </row>
    <row r="86" spans="1:3" x14ac:dyDescent="0.25">
      <c r="A86" s="78" t="s">
        <v>118</v>
      </c>
      <c r="B86">
        <v>9</v>
      </c>
      <c r="C86" s="77">
        <v>36</v>
      </c>
    </row>
    <row r="87" spans="1:3" x14ac:dyDescent="0.25">
      <c r="A87" s="78" t="s">
        <v>128</v>
      </c>
      <c r="B87">
        <v>8.5</v>
      </c>
      <c r="C87" s="77">
        <v>85</v>
      </c>
    </row>
    <row r="88" spans="1:3" x14ac:dyDescent="0.25">
      <c r="A88" s="78" t="s">
        <v>133</v>
      </c>
      <c r="B88">
        <v>0.3</v>
      </c>
      <c r="C88" s="77">
        <v>0.89999999999999991</v>
      </c>
    </row>
    <row r="89" spans="1:3" x14ac:dyDescent="0.25">
      <c r="A89" s="78" t="s">
        <v>123</v>
      </c>
      <c r="B89">
        <v>8.8000000000000007</v>
      </c>
      <c r="C89" s="77">
        <v>70.400000000000006</v>
      </c>
    </row>
    <row r="90" spans="1:3" x14ac:dyDescent="0.25">
      <c r="A90" s="78" t="s">
        <v>129</v>
      </c>
      <c r="B90">
        <v>3</v>
      </c>
      <c r="C90" s="77">
        <v>56.699999999999996</v>
      </c>
    </row>
    <row r="91" spans="1:3" x14ac:dyDescent="0.25">
      <c r="A91" s="78" t="s">
        <v>124</v>
      </c>
      <c r="B91">
        <v>10</v>
      </c>
      <c r="C91" s="77">
        <v>78</v>
      </c>
    </row>
    <row r="92" spans="1:3" x14ac:dyDescent="0.25">
      <c r="A92" s="78" t="s">
        <v>127</v>
      </c>
      <c r="B92">
        <v>4</v>
      </c>
      <c r="C92" s="77">
        <v>27.6</v>
      </c>
    </row>
    <row r="93" spans="1:3" x14ac:dyDescent="0.25">
      <c r="A93" s="78" t="s">
        <v>130</v>
      </c>
      <c r="B93">
        <v>6</v>
      </c>
      <c r="C93" s="77">
        <v>26.799999999999997</v>
      </c>
    </row>
    <row r="94" spans="1:3" x14ac:dyDescent="0.25">
      <c r="A94" s="78" t="s">
        <v>134</v>
      </c>
      <c r="B94">
        <v>3.8</v>
      </c>
      <c r="C94" s="77">
        <v>91.2</v>
      </c>
    </row>
    <row r="95" spans="1:3" x14ac:dyDescent="0.25">
      <c r="A95" s="78" t="s">
        <v>58</v>
      </c>
      <c r="B95">
        <v>2</v>
      </c>
      <c r="C95" s="77">
        <v>13.5</v>
      </c>
    </row>
    <row r="96" spans="1:3" x14ac:dyDescent="0.25">
      <c r="A96" s="76">
        <v>45190</v>
      </c>
      <c r="B96">
        <v>274.5</v>
      </c>
      <c r="C96" s="77">
        <v>2728.35</v>
      </c>
    </row>
    <row r="97" spans="1:3" x14ac:dyDescent="0.25">
      <c r="A97" s="78" t="s">
        <v>35</v>
      </c>
      <c r="B97">
        <v>2</v>
      </c>
      <c r="C97" s="77">
        <v>5.98</v>
      </c>
    </row>
    <row r="98" spans="1:3" x14ac:dyDescent="0.25">
      <c r="A98" s="78" t="s">
        <v>44</v>
      </c>
      <c r="B98">
        <v>3</v>
      </c>
      <c r="C98" s="77">
        <v>10.450000000000001</v>
      </c>
    </row>
    <row r="99" spans="1:3" x14ac:dyDescent="0.25">
      <c r="A99" s="78" t="s">
        <v>32</v>
      </c>
      <c r="B99">
        <v>30</v>
      </c>
      <c r="C99" s="77">
        <v>74.7</v>
      </c>
    </row>
    <row r="100" spans="1:3" x14ac:dyDescent="0.25">
      <c r="A100" s="78" t="s">
        <v>56</v>
      </c>
      <c r="B100">
        <v>1</v>
      </c>
      <c r="C100" s="77">
        <v>1.99</v>
      </c>
    </row>
    <row r="101" spans="1:3" x14ac:dyDescent="0.25">
      <c r="A101" s="78" t="s">
        <v>119</v>
      </c>
      <c r="B101">
        <v>6</v>
      </c>
      <c r="C101" s="77">
        <v>40.799999999999997</v>
      </c>
    </row>
    <row r="102" spans="1:3" x14ac:dyDescent="0.25">
      <c r="A102" s="78" t="s">
        <v>36</v>
      </c>
      <c r="B102">
        <v>14</v>
      </c>
      <c r="C102" s="77">
        <v>222.6</v>
      </c>
    </row>
    <row r="103" spans="1:3" x14ac:dyDescent="0.25">
      <c r="A103" s="78" t="s">
        <v>42</v>
      </c>
      <c r="B103">
        <v>1</v>
      </c>
      <c r="C103" s="77">
        <v>18.990000000000002</v>
      </c>
    </row>
    <row r="104" spans="1:3" x14ac:dyDescent="0.25">
      <c r="A104" s="78" t="s">
        <v>45</v>
      </c>
      <c r="B104">
        <v>102</v>
      </c>
      <c r="C104" s="77">
        <v>223.38</v>
      </c>
    </row>
    <row r="105" spans="1:3" x14ac:dyDescent="0.25">
      <c r="A105" s="78" t="s">
        <v>57</v>
      </c>
      <c r="B105">
        <v>5</v>
      </c>
      <c r="C105" s="77">
        <v>24.950000000000003</v>
      </c>
    </row>
    <row r="106" spans="1:3" x14ac:dyDescent="0.25">
      <c r="A106" s="78" t="s">
        <v>47</v>
      </c>
      <c r="B106">
        <v>2</v>
      </c>
      <c r="C106" s="77">
        <v>5.2</v>
      </c>
    </row>
    <row r="107" spans="1:3" x14ac:dyDescent="0.25">
      <c r="A107" s="78" t="s">
        <v>33</v>
      </c>
      <c r="B107">
        <v>13</v>
      </c>
      <c r="C107" s="77">
        <v>55.64</v>
      </c>
    </row>
    <row r="108" spans="1:3" x14ac:dyDescent="0.25">
      <c r="A108" s="78" t="s">
        <v>37</v>
      </c>
      <c r="B108">
        <v>3</v>
      </c>
      <c r="C108" s="77">
        <v>20.94</v>
      </c>
    </row>
    <row r="109" spans="1:3" x14ac:dyDescent="0.25">
      <c r="A109" s="78" t="s">
        <v>120</v>
      </c>
      <c r="B109">
        <v>3</v>
      </c>
      <c r="C109" s="77">
        <v>13.5</v>
      </c>
    </row>
    <row r="110" spans="1:3" x14ac:dyDescent="0.25">
      <c r="A110" s="78" t="s">
        <v>66</v>
      </c>
      <c r="B110">
        <v>4</v>
      </c>
      <c r="C110" s="77">
        <v>5.96</v>
      </c>
    </row>
    <row r="111" spans="1:3" x14ac:dyDescent="0.25">
      <c r="A111" s="78" t="s">
        <v>38</v>
      </c>
      <c r="B111">
        <v>7</v>
      </c>
      <c r="C111" s="77">
        <v>167.3</v>
      </c>
    </row>
    <row r="112" spans="1:3" x14ac:dyDescent="0.25">
      <c r="A112" s="78" t="s">
        <v>40</v>
      </c>
      <c r="B112">
        <v>55</v>
      </c>
      <c r="C112" s="77">
        <v>1659.5</v>
      </c>
    </row>
    <row r="113" spans="1:3" x14ac:dyDescent="0.25">
      <c r="A113" s="78" t="s">
        <v>43</v>
      </c>
      <c r="B113">
        <v>1</v>
      </c>
      <c r="C113" s="77">
        <v>9.58</v>
      </c>
    </row>
    <row r="114" spans="1:3" x14ac:dyDescent="0.25">
      <c r="A114" s="78" t="s">
        <v>71</v>
      </c>
      <c r="B114">
        <v>1</v>
      </c>
      <c r="C114" s="77">
        <v>2.89</v>
      </c>
    </row>
    <row r="115" spans="1:3" x14ac:dyDescent="0.25">
      <c r="A115" s="78" t="s">
        <v>39</v>
      </c>
      <c r="B115">
        <v>1</v>
      </c>
      <c r="C115" s="77">
        <v>25.9</v>
      </c>
    </row>
    <row r="116" spans="1:3" x14ac:dyDescent="0.25">
      <c r="A116" s="78" t="s">
        <v>59</v>
      </c>
      <c r="B116">
        <v>1</v>
      </c>
      <c r="C116" s="77">
        <v>1.1499999999999999</v>
      </c>
    </row>
    <row r="117" spans="1:3" x14ac:dyDescent="0.25">
      <c r="A117" s="78" t="s">
        <v>122</v>
      </c>
      <c r="B117">
        <v>4</v>
      </c>
      <c r="C117" s="77">
        <v>28</v>
      </c>
    </row>
    <row r="118" spans="1:3" x14ac:dyDescent="0.25">
      <c r="A118" s="78" t="s">
        <v>121</v>
      </c>
      <c r="B118">
        <v>2</v>
      </c>
      <c r="C118" s="77">
        <v>24</v>
      </c>
    </row>
    <row r="119" spans="1:3" x14ac:dyDescent="0.25">
      <c r="A119" s="78" t="s">
        <v>126</v>
      </c>
      <c r="B119">
        <v>1</v>
      </c>
      <c r="C119" s="77">
        <v>7</v>
      </c>
    </row>
    <row r="120" spans="1:3" x14ac:dyDescent="0.25">
      <c r="A120" s="78" t="s">
        <v>132</v>
      </c>
      <c r="B120">
        <v>0.5</v>
      </c>
      <c r="C120" s="77">
        <v>8.4499999999999993</v>
      </c>
    </row>
    <row r="121" spans="1:3" x14ac:dyDescent="0.25">
      <c r="A121" s="78" t="s">
        <v>131</v>
      </c>
      <c r="B121">
        <v>1</v>
      </c>
      <c r="C121" s="77">
        <v>3</v>
      </c>
    </row>
    <row r="122" spans="1:3" x14ac:dyDescent="0.25">
      <c r="A122" s="78" t="s">
        <v>136</v>
      </c>
      <c r="B122">
        <v>1</v>
      </c>
      <c r="C122" s="77">
        <v>10</v>
      </c>
    </row>
    <row r="123" spans="1:3" x14ac:dyDescent="0.25">
      <c r="A123" s="78" t="s">
        <v>118</v>
      </c>
      <c r="B123">
        <v>2</v>
      </c>
      <c r="C123" s="77">
        <v>8</v>
      </c>
    </row>
    <row r="124" spans="1:3" x14ac:dyDescent="0.25">
      <c r="A124" s="78" t="s">
        <v>129</v>
      </c>
      <c r="B124">
        <v>1</v>
      </c>
      <c r="C124" s="77">
        <v>18.899999999999999</v>
      </c>
    </row>
    <row r="125" spans="1:3" x14ac:dyDescent="0.25">
      <c r="A125" s="78" t="s">
        <v>124</v>
      </c>
      <c r="B125">
        <v>2</v>
      </c>
      <c r="C125" s="77">
        <v>15.6</v>
      </c>
    </row>
    <row r="126" spans="1:3" x14ac:dyDescent="0.25">
      <c r="A126" s="78" t="s">
        <v>130</v>
      </c>
      <c r="B126">
        <v>5</v>
      </c>
      <c r="C126" s="77">
        <v>14</v>
      </c>
    </row>
    <row r="127" spans="1:3" x14ac:dyDescent="0.25">
      <c r="A127" s="76">
        <v>45191</v>
      </c>
      <c r="B127">
        <v>111</v>
      </c>
      <c r="C127" s="77">
        <v>640.08999999999992</v>
      </c>
    </row>
    <row r="128" spans="1:3" x14ac:dyDescent="0.25">
      <c r="A128" s="78" t="s">
        <v>35</v>
      </c>
      <c r="B128">
        <v>7</v>
      </c>
      <c r="C128" s="77">
        <v>20.93</v>
      </c>
    </row>
    <row r="129" spans="1:3" x14ac:dyDescent="0.25">
      <c r="A129" s="78" t="s">
        <v>44</v>
      </c>
      <c r="B129">
        <v>4</v>
      </c>
      <c r="C129" s="77">
        <v>4.5999999999999996</v>
      </c>
    </row>
    <row r="130" spans="1:3" x14ac:dyDescent="0.25">
      <c r="A130" s="78" t="s">
        <v>32</v>
      </c>
      <c r="B130">
        <v>12</v>
      </c>
      <c r="C130" s="77">
        <v>29.880000000000003</v>
      </c>
    </row>
    <row r="131" spans="1:3" x14ac:dyDescent="0.25">
      <c r="A131" s="78" t="s">
        <v>56</v>
      </c>
      <c r="B131">
        <v>4</v>
      </c>
      <c r="C131" s="77">
        <v>22.959999999999997</v>
      </c>
    </row>
    <row r="132" spans="1:3" x14ac:dyDescent="0.25">
      <c r="A132" s="78" t="s">
        <v>119</v>
      </c>
      <c r="B132">
        <v>7</v>
      </c>
      <c r="C132" s="77">
        <v>47.6</v>
      </c>
    </row>
    <row r="133" spans="1:3" x14ac:dyDescent="0.25">
      <c r="A133" s="78" t="s">
        <v>48</v>
      </c>
      <c r="B133">
        <v>6</v>
      </c>
      <c r="C133" s="77">
        <v>4.74</v>
      </c>
    </row>
    <row r="134" spans="1:3" x14ac:dyDescent="0.25">
      <c r="A134" s="78" t="s">
        <v>36</v>
      </c>
      <c r="B134">
        <v>8</v>
      </c>
      <c r="C134" s="77">
        <v>127.2</v>
      </c>
    </row>
    <row r="135" spans="1:3" x14ac:dyDescent="0.25">
      <c r="A135" s="78" t="s">
        <v>42</v>
      </c>
      <c r="B135">
        <v>3</v>
      </c>
      <c r="C135" s="77">
        <v>11.97</v>
      </c>
    </row>
    <row r="136" spans="1:3" x14ac:dyDescent="0.25">
      <c r="A136" s="78" t="s">
        <v>45</v>
      </c>
      <c r="B136">
        <v>5</v>
      </c>
      <c r="C136" s="77">
        <v>10.95</v>
      </c>
    </row>
    <row r="137" spans="1:3" x14ac:dyDescent="0.25">
      <c r="A137" s="78" t="s">
        <v>57</v>
      </c>
      <c r="B137">
        <v>4</v>
      </c>
      <c r="C137" s="77">
        <v>19.96</v>
      </c>
    </row>
    <row r="138" spans="1:3" x14ac:dyDescent="0.25">
      <c r="A138" s="78" t="s">
        <v>47</v>
      </c>
      <c r="B138">
        <v>1</v>
      </c>
      <c r="C138" s="77">
        <v>2.6</v>
      </c>
    </row>
    <row r="139" spans="1:3" x14ac:dyDescent="0.25">
      <c r="A139" s="78" t="s">
        <v>33</v>
      </c>
      <c r="B139">
        <v>5</v>
      </c>
      <c r="C139" s="77">
        <v>21.400000000000002</v>
      </c>
    </row>
    <row r="140" spans="1:3" x14ac:dyDescent="0.25">
      <c r="A140" s="78" t="s">
        <v>37</v>
      </c>
      <c r="B140">
        <v>5</v>
      </c>
      <c r="C140" s="77">
        <v>34.900000000000006</v>
      </c>
    </row>
    <row r="141" spans="1:3" x14ac:dyDescent="0.25">
      <c r="A141" s="78" t="s">
        <v>120</v>
      </c>
      <c r="B141">
        <v>2</v>
      </c>
      <c r="C141" s="77">
        <v>16</v>
      </c>
    </row>
    <row r="142" spans="1:3" x14ac:dyDescent="0.25">
      <c r="A142" s="78" t="s">
        <v>66</v>
      </c>
      <c r="B142">
        <v>2</v>
      </c>
      <c r="C142" s="77">
        <v>2.98</v>
      </c>
    </row>
    <row r="143" spans="1:3" x14ac:dyDescent="0.25">
      <c r="A143" s="78" t="s">
        <v>72</v>
      </c>
      <c r="B143">
        <v>2</v>
      </c>
      <c r="C143" s="77">
        <v>4.78</v>
      </c>
    </row>
    <row r="144" spans="1:3" x14ac:dyDescent="0.25">
      <c r="A144" s="78" t="s">
        <v>34</v>
      </c>
      <c r="B144">
        <v>1</v>
      </c>
      <c r="C144" s="77">
        <v>5.82</v>
      </c>
    </row>
    <row r="145" spans="1:3" x14ac:dyDescent="0.25">
      <c r="A145" s="78" t="s">
        <v>71</v>
      </c>
      <c r="B145">
        <v>3</v>
      </c>
      <c r="C145" s="77">
        <v>8.67</v>
      </c>
    </row>
    <row r="146" spans="1:3" x14ac:dyDescent="0.25">
      <c r="A146" s="78" t="s">
        <v>39</v>
      </c>
      <c r="B146">
        <v>1</v>
      </c>
      <c r="C146" s="77">
        <v>25.9</v>
      </c>
    </row>
    <row r="147" spans="1:3" x14ac:dyDescent="0.25">
      <c r="A147" s="78" t="s">
        <v>59</v>
      </c>
      <c r="B147">
        <v>5</v>
      </c>
      <c r="C147" s="77">
        <v>5.75</v>
      </c>
    </row>
    <row r="148" spans="1:3" x14ac:dyDescent="0.25">
      <c r="A148" s="78" t="s">
        <v>122</v>
      </c>
      <c r="B148">
        <v>1</v>
      </c>
      <c r="C148" s="77">
        <v>7</v>
      </c>
    </row>
    <row r="149" spans="1:3" x14ac:dyDescent="0.25">
      <c r="A149" s="78" t="s">
        <v>121</v>
      </c>
      <c r="B149">
        <v>6</v>
      </c>
      <c r="C149" s="77">
        <v>72</v>
      </c>
    </row>
    <row r="150" spans="1:3" x14ac:dyDescent="0.25">
      <c r="A150" s="78" t="s">
        <v>132</v>
      </c>
      <c r="B150">
        <v>1</v>
      </c>
      <c r="C150" s="77">
        <v>2.9</v>
      </c>
    </row>
    <row r="151" spans="1:3" x14ac:dyDescent="0.25">
      <c r="A151" s="78" t="s">
        <v>137</v>
      </c>
      <c r="B151">
        <v>2</v>
      </c>
      <c r="C151" s="77">
        <v>14</v>
      </c>
    </row>
    <row r="152" spans="1:3" x14ac:dyDescent="0.25">
      <c r="A152" s="78" t="s">
        <v>118</v>
      </c>
      <c r="B152">
        <v>1</v>
      </c>
      <c r="C152" s="77">
        <v>4</v>
      </c>
    </row>
    <row r="153" spans="1:3" x14ac:dyDescent="0.25">
      <c r="A153" s="78" t="s">
        <v>128</v>
      </c>
      <c r="B153">
        <v>1</v>
      </c>
      <c r="C153" s="77">
        <v>10</v>
      </c>
    </row>
    <row r="154" spans="1:3" x14ac:dyDescent="0.25">
      <c r="A154" s="78" t="s">
        <v>133</v>
      </c>
      <c r="B154">
        <v>1</v>
      </c>
      <c r="C154" s="77">
        <v>3</v>
      </c>
    </row>
    <row r="155" spans="1:3" x14ac:dyDescent="0.25">
      <c r="A155" s="78" t="s">
        <v>129</v>
      </c>
      <c r="B155">
        <v>2</v>
      </c>
      <c r="C155" s="77">
        <v>37.799999999999997</v>
      </c>
    </row>
    <row r="156" spans="1:3" x14ac:dyDescent="0.25">
      <c r="A156" s="78" t="s">
        <v>130</v>
      </c>
      <c r="B156">
        <v>6</v>
      </c>
      <c r="C156" s="77">
        <v>31.8</v>
      </c>
    </row>
    <row r="157" spans="1:3" x14ac:dyDescent="0.25">
      <c r="A157" s="78" t="s">
        <v>58</v>
      </c>
      <c r="B157">
        <v>2</v>
      </c>
      <c r="C157" s="77">
        <v>13.5</v>
      </c>
    </row>
    <row r="158" spans="1:3" x14ac:dyDescent="0.25">
      <c r="A158" s="78" t="s">
        <v>125</v>
      </c>
      <c r="B158">
        <v>1</v>
      </c>
      <c r="C158" s="77">
        <v>14.5</v>
      </c>
    </row>
    <row r="159" spans="1:3" x14ac:dyDescent="0.25">
      <c r="A159" s="76">
        <v>45192</v>
      </c>
      <c r="B159">
        <v>1254.2</v>
      </c>
      <c r="C159" s="77">
        <v>25094.334999999999</v>
      </c>
    </row>
    <row r="160" spans="1:3" x14ac:dyDescent="0.25">
      <c r="A160" s="78" t="s">
        <v>35</v>
      </c>
      <c r="B160">
        <v>16</v>
      </c>
      <c r="C160" s="77">
        <v>47.840000000000011</v>
      </c>
    </row>
    <row r="161" spans="1:3" x14ac:dyDescent="0.25">
      <c r="A161" s="78" t="s">
        <v>32</v>
      </c>
      <c r="B161">
        <v>53</v>
      </c>
      <c r="C161" s="77">
        <v>131.97</v>
      </c>
    </row>
    <row r="162" spans="1:3" x14ac:dyDescent="0.25">
      <c r="A162" s="78" t="s">
        <v>56</v>
      </c>
      <c r="B162">
        <v>3</v>
      </c>
      <c r="C162" s="77">
        <v>5.97</v>
      </c>
    </row>
    <row r="163" spans="1:3" x14ac:dyDescent="0.25">
      <c r="A163" s="78" t="s">
        <v>119</v>
      </c>
      <c r="B163">
        <v>14</v>
      </c>
      <c r="C163" s="77">
        <v>102.19999999999999</v>
      </c>
    </row>
    <row r="164" spans="1:3" x14ac:dyDescent="0.25">
      <c r="A164" s="78" t="s">
        <v>48</v>
      </c>
      <c r="B164">
        <v>2</v>
      </c>
      <c r="C164" s="77">
        <v>1.58</v>
      </c>
    </row>
    <row r="165" spans="1:3" x14ac:dyDescent="0.25">
      <c r="A165" s="78" t="s">
        <v>36</v>
      </c>
      <c r="B165">
        <v>55</v>
      </c>
      <c r="C165" s="77">
        <v>889.5</v>
      </c>
    </row>
    <row r="166" spans="1:3" x14ac:dyDescent="0.25">
      <c r="A166" s="78" t="s">
        <v>42</v>
      </c>
      <c r="B166">
        <v>10.5</v>
      </c>
      <c r="C166" s="77">
        <v>41.89500000000001</v>
      </c>
    </row>
    <row r="167" spans="1:3" x14ac:dyDescent="0.25">
      <c r="A167" s="78" t="s">
        <v>45</v>
      </c>
      <c r="B167">
        <v>185</v>
      </c>
      <c r="C167" s="77">
        <v>405.15</v>
      </c>
    </row>
    <row r="168" spans="1:3" x14ac:dyDescent="0.25">
      <c r="A168" s="78" t="s">
        <v>57</v>
      </c>
      <c r="B168">
        <v>6</v>
      </c>
      <c r="C168" s="77">
        <v>29.940000000000005</v>
      </c>
    </row>
    <row r="169" spans="1:3" x14ac:dyDescent="0.25">
      <c r="A169" s="78" t="s">
        <v>47</v>
      </c>
      <c r="B169">
        <v>8</v>
      </c>
      <c r="C169" s="77">
        <v>20.800000000000004</v>
      </c>
    </row>
    <row r="170" spans="1:3" x14ac:dyDescent="0.25">
      <c r="A170" s="78" t="s">
        <v>33</v>
      </c>
      <c r="B170">
        <v>28</v>
      </c>
      <c r="C170" s="77">
        <v>136.84000000000003</v>
      </c>
    </row>
    <row r="171" spans="1:3" x14ac:dyDescent="0.25">
      <c r="A171" s="78" t="s">
        <v>37</v>
      </c>
      <c r="B171">
        <v>36</v>
      </c>
      <c r="C171" s="77">
        <v>251.28000000000003</v>
      </c>
    </row>
    <row r="172" spans="1:3" x14ac:dyDescent="0.25">
      <c r="A172" s="78" t="s">
        <v>120</v>
      </c>
      <c r="B172">
        <v>5</v>
      </c>
      <c r="C172" s="77">
        <v>32.5</v>
      </c>
    </row>
    <row r="173" spans="1:3" x14ac:dyDescent="0.25">
      <c r="A173" s="78" t="s">
        <v>66</v>
      </c>
      <c r="B173">
        <v>42</v>
      </c>
      <c r="C173" s="77">
        <v>69.58</v>
      </c>
    </row>
    <row r="174" spans="1:3" x14ac:dyDescent="0.25">
      <c r="A174" s="78" t="s">
        <v>38</v>
      </c>
      <c r="B174">
        <v>8</v>
      </c>
      <c r="C174" s="77">
        <v>191.2</v>
      </c>
    </row>
    <row r="175" spans="1:3" x14ac:dyDescent="0.25">
      <c r="A175" s="78" t="s">
        <v>72</v>
      </c>
      <c r="B175">
        <v>55</v>
      </c>
      <c r="C175" s="77">
        <v>138.44999999999999</v>
      </c>
    </row>
    <row r="176" spans="1:3" x14ac:dyDescent="0.25">
      <c r="A176" s="78" t="s">
        <v>34</v>
      </c>
      <c r="B176">
        <v>50</v>
      </c>
      <c r="C176" s="77">
        <v>291</v>
      </c>
    </row>
    <row r="177" spans="1:3" x14ac:dyDescent="0.25">
      <c r="A177" s="78" t="s">
        <v>40</v>
      </c>
      <c r="B177">
        <v>215</v>
      </c>
      <c r="C177" s="77">
        <v>6428.5</v>
      </c>
    </row>
    <row r="178" spans="1:3" x14ac:dyDescent="0.25">
      <c r="A178" s="78" t="s">
        <v>46</v>
      </c>
      <c r="B178">
        <v>255</v>
      </c>
      <c r="C178" s="77">
        <v>13999.5</v>
      </c>
    </row>
    <row r="179" spans="1:3" x14ac:dyDescent="0.25">
      <c r="A179" s="78" t="s">
        <v>43</v>
      </c>
      <c r="B179">
        <v>5</v>
      </c>
      <c r="C179" s="77">
        <v>47.9</v>
      </c>
    </row>
    <row r="180" spans="1:3" x14ac:dyDescent="0.25">
      <c r="A180" s="78" t="s">
        <v>71</v>
      </c>
      <c r="B180">
        <v>6</v>
      </c>
      <c r="C180" s="77">
        <v>17.34</v>
      </c>
    </row>
    <row r="181" spans="1:3" x14ac:dyDescent="0.25">
      <c r="A181" s="78" t="s">
        <v>39</v>
      </c>
      <c r="B181">
        <v>19</v>
      </c>
      <c r="C181" s="77">
        <v>504.89999999999992</v>
      </c>
    </row>
    <row r="182" spans="1:3" x14ac:dyDescent="0.25">
      <c r="A182" s="78" t="s">
        <v>59</v>
      </c>
      <c r="B182">
        <v>6</v>
      </c>
      <c r="C182" s="77">
        <v>6.9</v>
      </c>
    </row>
    <row r="183" spans="1:3" x14ac:dyDescent="0.25">
      <c r="A183" s="78" t="s">
        <v>122</v>
      </c>
      <c r="B183">
        <v>5</v>
      </c>
      <c r="C183" s="77">
        <v>35</v>
      </c>
    </row>
    <row r="184" spans="1:3" x14ac:dyDescent="0.25">
      <c r="A184" s="78" t="s">
        <v>41</v>
      </c>
      <c r="B184">
        <v>35</v>
      </c>
      <c r="C184" s="77">
        <v>140.55000000000001</v>
      </c>
    </row>
    <row r="185" spans="1:3" x14ac:dyDescent="0.25">
      <c r="A185" s="78" t="s">
        <v>121</v>
      </c>
      <c r="B185">
        <v>15</v>
      </c>
      <c r="C185" s="77">
        <v>190</v>
      </c>
    </row>
    <row r="186" spans="1:3" x14ac:dyDescent="0.25">
      <c r="A186" s="78" t="s">
        <v>126</v>
      </c>
      <c r="B186">
        <v>2</v>
      </c>
      <c r="C186" s="77">
        <v>24</v>
      </c>
    </row>
    <row r="187" spans="1:3" x14ac:dyDescent="0.25">
      <c r="A187" s="78" t="s">
        <v>132</v>
      </c>
      <c r="B187">
        <v>4</v>
      </c>
      <c r="C187" s="77">
        <v>11.6</v>
      </c>
    </row>
    <row r="188" spans="1:3" x14ac:dyDescent="0.25">
      <c r="A188" s="78" t="s">
        <v>135</v>
      </c>
      <c r="B188">
        <v>5</v>
      </c>
      <c r="C188" s="77">
        <v>25</v>
      </c>
    </row>
    <row r="189" spans="1:3" x14ac:dyDescent="0.25">
      <c r="A189" s="78" t="s">
        <v>131</v>
      </c>
      <c r="B189">
        <v>7.1999999999999993</v>
      </c>
      <c r="C189" s="77">
        <v>21.6</v>
      </c>
    </row>
    <row r="190" spans="1:3" x14ac:dyDescent="0.25">
      <c r="A190" s="78" t="s">
        <v>136</v>
      </c>
      <c r="B190">
        <v>6</v>
      </c>
      <c r="C190" s="77">
        <v>60</v>
      </c>
    </row>
    <row r="191" spans="1:3" x14ac:dyDescent="0.25">
      <c r="A191" s="78" t="s">
        <v>118</v>
      </c>
      <c r="B191">
        <v>7</v>
      </c>
      <c r="C191" s="77">
        <v>28</v>
      </c>
    </row>
    <row r="192" spans="1:3" x14ac:dyDescent="0.25">
      <c r="A192" s="78" t="s">
        <v>128</v>
      </c>
      <c r="B192">
        <v>12</v>
      </c>
      <c r="C192" s="77">
        <v>120</v>
      </c>
    </row>
    <row r="193" spans="1:3" x14ac:dyDescent="0.25">
      <c r="A193" s="78" t="s">
        <v>133</v>
      </c>
      <c r="B193">
        <v>3</v>
      </c>
      <c r="C193" s="77">
        <v>9</v>
      </c>
    </row>
    <row r="194" spans="1:3" x14ac:dyDescent="0.25">
      <c r="A194" s="78" t="s">
        <v>123</v>
      </c>
      <c r="B194">
        <v>15</v>
      </c>
      <c r="C194" s="77">
        <v>127</v>
      </c>
    </row>
    <row r="195" spans="1:3" x14ac:dyDescent="0.25">
      <c r="A195" s="78" t="s">
        <v>129</v>
      </c>
      <c r="B195">
        <v>8</v>
      </c>
      <c r="C195" s="77">
        <v>151.19999999999999</v>
      </c>
    </row>
    <row r="196" spans="1:3" x14ac:dyDescent="0.25">
      <c r="A196" s="78" t="s">
        <v>124</v>
      </c>
      <c r="B196">
        <v>2</v>
      </c>
      <c r="C196" s="77">
        <v>15.6</v>
      </c>
    </row>
    <row r="197" spans="1:3" x14ac:dyDescent="0.25">
      <c r="A197" s="78" t="s">
        <v>127</v>
      </c>
      <c r="B197">
        <v>10.5</v>
      </c>
      <c r="C197" s="77">
        <v>72.45</v>
      </c>
    </row>
    <row r="198" spans="1:3" x14ac:dyDescent="0.25">
      <c r="A198" s="78" t="s">
        <v>130</v>
      </c>
      <c r="B198">
        <v>17</v>
      </c>
      <c r="C198" s="77">
        <v>47.599999999999994</v>
      </c>
    </row>
    <row r="199" spans="1:3" x14ac:dyDescent="0.25">
      <c r="A199" s="78" t="s">
        <v>134</v>
      </c>
      <c r="B199">
        <v>6</v>
      </c>
      <c r="C199" s="77">
        <v>144</v>
      </c>
    </row>
    <row r="200" spans="1:3" x14ac:dyDescent="0.25">
      <c r="A200" s="78" t="s">
        <v>58</v>
      </c>
      <c r="B200">
        <v>8</v>
      </c>
      <c r="C200" s="77">
        <v>54</v>
      </c>
    </row>
    <row r="201" spans="1:3" x14ac:dyDescent="0.25">
      <c r="A201" s="78" t="s">
        <v>125</v>
      </c>
      <c r="B201">
        <v>4</v>
      </c>
      <c r="C201" s="77">
        <v>25</v>
      </c>
    </row>
    <row r="202" spans="1:3" x14ac:dyDescent="0.25">
      <c r="A202" s="76" t="s">
        <v>168</v>
      </c>
      <c r="B202">
        <v>3445.4999999999995</v>
      </c>
      <c r="C202" s="77">
        <v>45695.203000000001</v>
      </c>
    </row>
  </sheetData>
  <pageMargins left="0.511811024" right="0.511811024" top="0.78740157499999996" bottom="0.78740157499999996" header="0.31496062000000002" footer="0.3149606200000000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E8D2D-765B-4EB0-A1BD-220B0AB3B2BB}">
  <sheetPr codeName="Planilha18"/>
  <dimension ref="B2:L46"/>
  <sheetViews>
    <sheetView topLeftCell="A27" workbookViewId="0">
      <selection activeCell="F39" sqref="F39"/>
    </sheetView>
  </sheetViews>
  <sheetFormatPr defaultRowHeight="15" x14ac:dyDescent="0.25"/>
  <cols>
    <col min="2" max="2" width="16.7109375" bestFit="1" customWidth="1"/>
    <col min="3" max="3" width="15.7109375" bestFit="1" customWidth="1"/>
    <col min="9" max="9" width="15.7109375" bestFit="1" customWidth="1"/>
    <col min="10" max="10" width="24.42578125" bestFit="1" customWidth="1"/>
    <col min="11" max="11" width="22.85546875" bestFit="1" customWidth="1"/>
    <col min="12" max="12" width="8.42578125" bestFit="1" customWidth="1"/>
  </cols>
  <sheetData>
    <row r="2" spans="2:12" x14ac:dyDescent="0.25">
      <c r="I2" s="5" t="s">
        <v>60</v>
      </c>
      <c r="J2" s="5" t="s">
        <v>61</v>
      </c>
      <c r="K2" s="5" t="s">
        <v>62</v>
      </c>
      <c r="L2" s="5" t="s">
        <v>51</v>
      </c>
    </row>
    <row r="3" spans="2:12" x14ac:dyDescent="0.25">
      <c r="I3" t="s">
        <v>130</v>
      </c>
      <c r="J3" s="6">
        <v>1.05</v>
      </c>
      <c r="K3" s="6">
        <v>2.8</v>
      </c>
      <c r="L3" t="s">
        <v>65</v>
      </c>
    </row>
    <row r="4" spans="2:12" x14ac:dyDescent="0.25">
      <c r="B4" s="5" t="s">
        <v>103</v>
      </c>
      <c r="C4" s="5" t="s">
        <v>107</v>
      </c>
      <c r="I4" t="s">
        <v>35</v>
      </c>
      <c r="J4" s="6">
        <v>2.8405</v>
      </c>
      <c r="K4" s="6">
        <v>2.99</v>
      </c>
      <c r="L4" t="s">
        <v>63</v>
      </c>
    </row>
    <row r="5" spans="2:12" x14ac:dyDescent="0.25">
      <c r="B5" t="s">
        <v>108</v>
      </c>
      <c r="C5" s="6">
        <v>10</v>
      </c>
      <c r="I5" t="s">
        <v>121</v>
      </c>
      <c r="J5" s="6">
        <v>4</v>
      </c>
      <c r="K5" s="6">
        <v>12</v>
      </c>
      <c r="L5" t="s">
        <v>65</v>
      </c>
    </row>
    <row r="6" spans="2:12" x14ac:dyDescent="0.25">
      <c r="B6" t="s">
        <v>109</v>
      </c>
      <c r="C6" s="6">
        <v>0</v>
      </c>
      <c r="I6" t="s">
        <v>44</v>
      </c>
      <c r="J6" s="6">
        <v>1.0580000000000001</v>
      </c>
      <c r="K6" s="6">
        <v>1.1499999999999999</v>
      </c>
      <c r="L6" t="s">
        <v>64</v>
      </c>
    </row>
    <row r="7" spans="2:12" x14ac:dyDescent="0.25">
      <c r="B7" t="s">
        <v>110</v>
      </c>
      <c r="C7" s="6">
        <v>12.8</v>
      </c>
      <c r="I7" t="s">
        <v>32</v>
      </c>
      <c r="J7" s="6">
        <v>2.3406000000000002</v>
      </c>
      <c r="K7" s="6">
        <v>2.4900000000000002</v>
      </c>
      <c r="L7" t="s">
        <v>65</v>
      </c>
    </row>
    <row r="8" spans="2:12" x14ac:dyDescent="0.25">
      <c r="B8" t="s">
        <v>111</v>
      </c>
      <c r="C8" s="6">
        <v>15</v>
      </c>
      <c r="I8" t="s">
        <v>56</v>
      </c>
      <c r="J8" s="6">
        <v>1.8506999999999998</v>
      </c>
      <c r="K8" s="6">
        <v>1.99</v>
      </c>
      <c r="L8" t="s">
        <v>64</v>
      </c>
    </row>
    <row r="9" spans="2:12" x14ac:dyDescent="0.25">
      <c r="B9" t="s">
        <v>112</v>
      </c>
      <c r="C9" s="6">
        <v>7</v>
      </c>
      <c r="I9" t="s">
        <v>122</v>
      </c>
      <c r="J9" s="6">
        <v>3</v>
      </c>
      <c r="K9" s="6">
        <v>7</v>
      </c>
      <c r="L9" t="s">
        <v>65</v>
      </c>
    </row>
    <row r="10" spans="2:12" x14ac:dyDescent="0.25">
      <c r="I10" t="s">
        <v>59</v>
      </c>
      <c r="J10" s="6">
        <v>1.0924999999999998</v>
      </c>
      <c r="K10" s="6">
        <v>1.1499999999999999</v>
      </c>
      <c r="L10" t="s">
        <v>64</v>
      </c>
    </row>
    <row r="11" spans="2:12" x14ac:dyDescent="0.25">
      <c r="I11" t="s">
        <v>119</v>
      </c>
      <c r="J11" s="6">
        <v>1.8</v>
      </c>
      <c r="K11" s="6">
        <v>6.8</v>
      </c>
      <c r="L11" t="s">
        <v>65</v>
      </c>
    </row>
    <row r="12" spans="2:12" x14ac:dyDescent="0.25">
      <c r="I12" t="s">
        <v>118</v>
      </c>
      <c r="J12" s="6">
        <v>0.5</v>
      </c>
      <c r="K12" s="6">
        <v>4</v>
      </c>
      <c r="L12" t="s">
        <v>65</v>
      </c>
    </row>
    <row r="13" spans="2:12" x14ac:dyDescent="0.25">
      <c r="I13" t="s">
        <v>48</v>
      </c>
      <c r="J13" s="6">
        <v>0.74260000000000004</v>
      </c>
      <c r="K13" s="6">
        <v>0.79</v>
      </c>
      <c r="L13" t="s">
        <v>64</v>
      </c>
    </row>
    <row r="14" spans="2:12" x14ac:dyDescent="0.25">
      <c r="I14" t="s">
        <v>36</v>
      </c>
      <c r="J14" s="6">
        <v>14.469000000000001</v>
      </c>
      <c r="K14" s="6">
        <v>15.9</v>
      </c>
      <c r="L14" t="s">
        <v>65</v>
      </c>
    </row>
    <row r="15" spans="2:12" x14ac:dyDescent="0.25">
      <c r="I15" t="s">
        <v>42</v>
      </c>
      <c r="J15" s="6">
        <v>3.6309000000000005</v>
      </c>
      <c r="K15" s="6">
        <v>3.99</v>
      </c>
      <c r="L15" t="s">
        <v>65</v>
      </c>
    </row>
    <row r="16" spans="2:12" x14ac:dyDescent="0.25">
      <c r="I16" t="s">
        <v>45</v>
      </c>
      <c r="J16" s="6">
        <v>2.1023999999999998</v>
      </c>
      <c r="K16" s="6">
        <v>2.19</v>
      </c>
      <c r="L16" t="s">
        <v>68</v>
      </c>
    </row>
    <row r="17" spans="9:12" x14ac:dyDescent="0.25">
      <c r="I17" t="s">
        <v>57</v>
      </c>
      <c r="J17" s="6">
        <v>4.5409000000000006</v>
      </c>
      <c r="K17" s="6">
        <v>4.99</v>
      </c>
      <c r="L17" t="s">
        <v>69</v>
      </c>
    </row>
    <row r="18" spans="9:12" x14ac:dyDescent="0.25">
      <c r="I18" t="s">
        <v>58</v>
      </c>
      <c r="J18" s="6">
        <v>6.3449999999999998</v>
      </c>
      <c r="K18" s="6">
        <v>6.75</v>
      </c>
      <c r="L18" t="s">
        <v>70</v>
      </c>
    </row>
    <row r="19" spans="9:12" x14ac:dyDescent="0.25">
      <c r="I19" t="s">
        <v>47</v>
      </c>
      <c r="J19" s="6">
        <v>2.3660000000000001</v>
      </c>
      <c r="K19" s="6">
        <v>2.6</v>
      </c>
      <c r="L19" t="s">
        <v>63</v>
      </c>
    </row>
    <row r="20" spans="9:12" x14ac:dyDescent="0.25">
      <c r="I20" t="s">
        <v>137</v>
      </c>
      <c r="J20" s="6">
        <v>2.75</v>
      </c>
      <c r="K20" s="6">
        <v>7</v>
      </c>
      <c r="L20" t="s">
        <v>65</v>
      </c>
    </row>
    <row r="21" spans="9:12" x14ac:dyDescent="0.25">
      <c r="I21" t="s">
        <v>125</v>
      </c>
      <c r="J21" s="6">
        <v>2</v>
      </c>
      <c r="K21" s="6">
        <v>4.5</v>
      </c>
      <c r="L21" t="s">
        <v>63</v>
      </c>
    </row>
    <row r="22" spans="9:12" x14ac:dyDescent="0.25">
      <c r="I22" t="s">
        <v>33</v>
      </c>
      <c r="J22" s="6">
        <v>4.0659999999999998</v>
      </c>
      <c r="K22" s="6">
        <v>4.28</v>
      </c>
      <c r="L22" t="s">
        <v>65</v>
      </c>
    </row>
    <row r="23" spans="9:12" x14ac:dyDescent="0.25">
      <c r="I23" t="s">
        <v>37</v>
      </c>
      <c r="J23" s="6">
        <v>6.4216000000000006</v>
      </c>
      <c r="K23" s="6">
        <v>6.98</v>
      </c>
      <c r="L23" t="s">
        <v>65</v>
      </c>
    </row>
    <row r="24" spans="9:12" x14ac:dyDescent="0.25">
      <c r="I24" t="s">
        <v>127</v>
      </c>
      <c r="J24" s="6">
        <v>2.8</v>
      </c>
      <c r="K24" s="6">
        <v>6.9</v>
      </c>
      <c r="L24" t="s">
        <v>65</v>
      </c>
    </row>
    <row r="25" spans="9:12" x14ac:dyDescent="0.25">
      <c r="I25" t="s">
        <v>133</v>
      </c>
      <c r="J25" s="6">
        <v>0.97</v>
      </c>
      <c r="K25" s="6">
        <v>3</v>
      </c>
      <c r="L25" t="s">
        <v>65</v>
      </c>
    </row>
    <row r="26" spans="9:12" x14ac:dyDescent="0.25">
      <c r="I26" t="s">
        <v>120</v>
      </c>
      <c r="J26" s="6">
        <v>1.75</v>
      </c>
      <c r="K26" s="6">
        <v>4.5</v>
      </c>
      <c r="L26" t="s">
        <v>65</v>
      </c>
    </row>
    <row r="27" spans="9:12" x14ac:dyDescent="0.25">
      <c r="I27" t="s">
        <v>66</v>
      </c>
      <c r="J27" s="6">
        <v>1.3708</v>
      </c>
      <c r="K27" s="6">
        <v>1.49</v>
      </c>
      <c r="L27" t="s">
        <v>67</v>
      </c>
    </row>
    <row r="28" spans="9:12" x14ac:dyDescent="0.25">
      <c r="I28" t="s">
        <v>134</v>
      </c>
      <c r="J28" s="6">
        <v>10</v>
      </c>
      <c r="K28" s="6">
        <v>24</v>
      </c>
      <c r="L28" t="s">
        <v>65</v>
      </c>
    </row>
    <row r="29" spans="9:12" x14ac:dyDescent="0.25">
      <c r="I29" t="s">
        <v>123</v>
      </c>
      <c r="J29" s="6">
        <v>2.8</v>
      </c>
      <c r="K29" s="6">
        <v>8</v>
      </c>
      <c r="L29" t="s">
        <v>65</v>
      </c>
    </row>
    <row r="30" spans="9:12" x14ac:dyDescent="0.25">
      <c r="I30" t="s">
        <v>129</v>
      </c>
      <c r="J30" s="6">
        <v>3</v>
      </c>
      <c r="K30" s="6">
        <v>18.899999999999999</v>
      </c>
      <c r="L30" t="s">
        <v>63</v>
      </c>
    </row>
    <row r="31" spans="9:12" x14ac:dyDescent="0.25">
      <c r="I31" t="s">
        <v>128</v>
      </c>
      <c r="J31" s="6">
        <v>4</v>
      </c>
      <c r="K31" s="6">
        <v>10</v>
      </c>
      <c r="L31" t="s">
        <v>65</v>
      </c>
    </row>
    <row r="32" spans="9:12" x14ac:dyDescent="0.25">
      <c r="I32" t="s">
        <v>124</v>
      </c>
      <c r="J32" s="6">
        <v>1.9</v>
      </c>
      <c r="K32" s="6">
        <v>7.8</v>
      </c>
      <c r="L32" t="s">
        <v>65</v>
      </c>
    </row>
    <row r="33" spans="9:12" x14ac:dyDescent="0.25">
      <c r="I33" t="s">
        <v>135</v>
      </c>
      <c r="J33" s="6">
        <v>1.9</v>
      </c>
      <c r="K33" s="6">
        <v>5</v>
      </c>
      <c r="L33" t="s">
        <v>65</v>
      </c>
    </row>
    <row r="34" spans="9:12" x14ac:dyDescent="0.25">
      <c r="I34" t="s">
        <v>71</v>
      </c>
      <c r="J34" s="6">
        <v>2.6299000000000001</v>
      </c>
      <c r="K34" s="6">
        <v>2.89</v>
      </c>
      <c r="L34" t="s">
        <v>63</v>
      </c>
    </row>
    <row r="35" spans="9:12" x14ac:dyDescent="0.25">
      <c r="I35" t="s">
        <v>38</v>
      </c>
      <c r="J35" s="6">
        <v>22.226999999999997</v>
      </c>
      <c r="K35" s="6">
        <v>23.9</v>
      </c>
      <c r="L35" t="s">
        <v>65</v>
      </c>
    </row>
    <row r="36" spans="9:12" x14ac:dyDescent="0.25">
      <c r="I36" t="s">
        <v>131</v>
      </c>
      <c r="J36" s="6">
        <v>1.0900000000000001</v>
      </c>
      <c r="K36" s="6">
        <v>3</v>
      </c>
      <c r="L36" t="s">
        <v>65</v>
      </c>
    </row>
    <row r="37" spans="9:12" x14ac:dyDescent="0.25">
      <c r="I37" t="s">
        <v>39</v>
      </c>
      <c r="J37" s="6">
        <v>23.827999999999999</v>
      </c>
      <c r="K37" s="6">
        <v>25.9</v>
      </c>
      <c r="L37" t="s">
        <v>65</v>
      </c>
    </row>
    <row r="38" spans="9:12" x14ac:dyDescent="0.25">
      <c r="I38" t="s">
        <v>132</v>
      </c>
      <c r="J38" s="6">
        <v>0.8</v>
      </c>
      <c r="K38" s="6">
        <v>2.9</v>
      </c>
      <c r="L38" t="s">
        <v>65</v>
      </c>
    </row>
    <row r="39" spans="9:12" x14ac:dyDescent="0.25">
      <c r="I39" t="s">
        <v>72</v>
      </c>
      <c r="J39" s="6">
        <v>2.1749000000000001</v>
      </c>
      <c r="K39" s="6">
        <v>2.39</v>
      </c>
      <c r="L39" t="s">
        <v>67</v>
      </c>
    </row>
    <row r="40" spans="9:12" x14ac:dyDescent="0.25">
      <c r="I40" t="s">
        <v>126</v>
      </c>
      <c r="J40" s="6">
        <v>1.75</v>
      </c>
      <c r="K40" s="6">
        <v>7</v>
      </c>
      <c r="L40" t="s">
        <v>63</v>
      </c>
    </row>
    <row r="41" spans="9:12" x14ac:dyDescent="0.25">
      <c r="I41" t="s">
        <v>136</v>
      </c>
      <c r="J41" s="6">
        <v>3</v>
      </c>
      <c r="K41" s="6">
        <v>10</v>
      </c>
      <c r="L41" t="s">
        <v>63</v>
      </c>
    </row>
    <row r="42" spans="9:12" x14ac:dyDescent="0.25">
      <c r="I42" t="s">
        <v>41</v>
      </c>
      <c r="J42" s="6">
        <v>3.2084999999999999</v>
      </c>
      <c r="K42" s="6">
        <v>3.45</v>
      </c>
      <c r="L42" t="s">
        <v>67</v>
      </c>
    </row>
    <row r="43" spans="9:12" x14ac:dyDescent="0.25">
      <c r="I43" t="s">
        <v>34</v>
      </c>
      <c r="J43" s="6">
        <v>5.3544000000000009</v>
      </c>
      <c r="K43" s="6">
        <v>5.82</v>
      </c>
      <c r="L43" t="s">
        <v>65</v>
      </c>
    </row>
    <row r="44" spans="9:12" x14ac:dyDescent="0.25">
      <c r="I44" t="s">
        <v>43</v>
      </c>
      <c r="J44" s="6">
        <v>9.1009999999999991</v>
      </c>
      <c r="K44" s="6">
        <v>9.58</v>
      </c>
      <c r="L44" t="s">
        <v>65</v>
      </c>
    </row>
    <row r="45" spans="9:12" x14ac:dyDescent="0.25">
      <c r="I45" t="s">
        <v>40</v>
      </c>
      <c r="J45" s="6">
        <v>26.012999999999998</v>
      </c>
      <c r="K45" s="6">
        <v>29.9</v>
      </c>
      <c r="L45" t="s">
        <v>73</v>
      </c>
    </row>
    <row r="46" spans="9:12" x14ac:dyDescent="0.25">
      <c r="I46" t="s">
        <v>46</v>
      </c>
      <c r="J46" s="6">
        <v>46.664999999999999</v>
      </c>
      <c r="K46" s="6">
        <v>54.9</v>
      </c>
      <c r="L46" t="s">
        <v>73</v>
      </c>
    </row>
  </sheetData>
  <sortState xmlns:xlrd2="http://schemas.microsoft.com/office/spreadsheetml/2017/richdata2" ref="I3:L46">
    <sortCondition ref="I3:I46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Menu</vt:lpstr>
      <vt:lpstr>Despesas</vt:lpstr>
      <vt:lpstr>Compras Mercadorias</vt:lpstr>
      <vt:lpstr>Investimentos</vt:lpstr>
      <vt:lpstr>Controle de Estoque</vt:lpstr>
      <vt:lpstr>Resultados</vt:lpstr>
      <vt:lpstr>Vendas</vt:lpstr>
      <vt:lpstr>Sem1</vt:lpstr>
      <vt:lpstr>Análise Sem1</vt:lpstr>
      <vt:lpstr>Sem2</vt:lpstr>
      <vt:lpstr>Análise Sem 2</vt:lpstr>
      <vt:lpstr>Sem3</vt:lpstr>
      <vt:lpstr>Análise Sem 3</vt:lpstr>
      <vt:lpstr>Sem4</vt:lpstr>
      <vt:lpstr>Análise Sem 4</vt:lpstr>
      <vt:lpstr>cálculos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Bruna Rocha</dc:creator>
  <cp:lastModifiedBy>Bruna Rocha</cp:lastModifiedBy>
  <dcterms:created xsi:type="dcterms:W3CDTF">2024-07-18T21:48:41Z</dcterms:created>
  <dcterms:modified xsi:type="dcterms:W3CDTF">2024-08-02T01:33:52Z</dcterms:modified>
</cp:coreProperties>
</file>