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5" windowWidth="12945" windowHeight="117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J66" i="1" l="1"/>
  <c r="K66" i="1" s="1"/>
  <c r="G66" i="1"/>
  <c r="J67" i="1"/>
  <c r="K67" i="1"/>
  <c r="L67" i="1"/>
  <c r="K92" i="1" l="1"/>
  <c r="M34" i="1" l="1"/>
  <c r="L34" i="1"/>
  <c r="J70" i="1"/>
  <c r="G9" i="1" l="1"/>
  <c r="G10" i="1"/>
  <c r="M44" i="1" l="1"/>
  <c r="L44" i="1"/>
  <c r="M14" i="1" l="1"/>
  <c r="J14" i="1"/>
  <c r="K14" i="1" s="1"/>
  <c r="G14" i="1"/>
  <c r="M13" i="1"/>
  <c r="G13" i="1"/>
  <c r="J13" i="1" s="1"/>
  <c r="K13" i="1" s="1"/>
  <c r="M10" i="1"/>
  <c r="J10" i="1"/>
  <c r="K10" i="1" s="1"/>
  <c r="J6" i="1" l="1"/>
  <c r="K6" i="1"/>
  <c r="M3" i="1"/>
  <c r="K3" i="1"/>
  <c r="J3" i="1"/>
  <c r="J87" i="1" l="1"/>
  <c r="J86" i="1"/>
  <c r="K87" i="1" l="1"/>
  <c r="K42" i="1"/>
  <c r="J42" i="1"/>
  <c r="K54" i="1" l="1"/>
  <c r="G46" i="1" l="1"/>
  <c r="J46" i="1" s="1"/>
  <c r="K46" i="1" s="1"/>
  <c r="G47" i="1"/>
  <c r="J47" i="1"/>
  <c r="K47" i="1" s="1"/>
  <c r="M45" i="1" l="1"/>
  <c r="M43" i="1"/>
  <c r="J45" i="1"/>
  <c r="K45" i="1" s="1"/>
  <c r="M21" i="1" l="1"/>
  <c r="J21" i="1"/>
  <c r="K21" i="1" s="1"/>
  <c r="G21" i="1"/>
  <c r="G20" i="1"/>
  <c r="J20" i="1" s="1"/>
  <c r="K20" i="1" s="1"/>
  <c r="G19" i="1"/>
  <c r="J19" i="1" s="1"/>
  <c r="K19" i="1" s="1"/>
  <c r="G18" i="1"/>
  <c r="J18" i="1" s="1"/>
  <c r="K18" i="1" s="1"/>
  <c r="G17" i="1"/>
  <c r="J17" i="1" s="1"/>
  <c r="K17" i="1" s="1"/>
  <c r="G16" i="1"/>
  <c r="J16" i="1"/>
  <c r="K16" i="1" s="1"/>
  <c r="G15" i="1"/>
  <c r="J15" i="1" s="1"/>
  <c r="K15" i="1" s="1"/>
  <c r="G11" i="1"/>
  <c r="J11" i="1" s="1"/>
  <c r="K11" i="1" s="1"/>
  <c r="G12" i="1"/>
  <c r="J12" i="1"/>
  <c r="K12" i="1" s="1"/>
  <c r="G8" i="1"/>
  <c r="G7" i="1"/>
  <c r="J85" i="1"/>
  <c r="K85" i="1" s="1"/>
  <c r="K86" i="1"/>
  <c r="L88" i="1"/>
  <c r="G61" i="1"/>
  <c r="J61" i="1" s="1"/>
  <c r="K61" i="1" s="1"/>
  <c r="J64" i="1"/>
  <c r="K64" i="1" s="1"/>
  <c r="J52" i="1"/>
  <c r="K52" i="1" s="1"/>
  <c r="M64" i="1"/>
  <c r="M61" i="1"/>
  <c r="J72" i="1"/>
  <c r="K72" i="1" s="1"/>
  <c r="J73" i="1"/>
  <c r="K73" i="1" s="1"/>
  <c r="J83" i="1"/>
  <c r="K83" i="1" s="1"/>
  <c r="J84" i="1"/>
  <c r="K84" i="1" s="1"/>
  <c r="J63" i="1"/>
  <c r="K63" i="1" s="1"/>
  <c r="M82" i="1"/>
  <c r="G35" i="1"/>
  <c r="J35" i="1"/>
  <c r="K35" i="1" s="1"/>
  <c r="G39" i="1"/>
  <c r="J39" i="1" s="1"/>
  <c r="K39" i="1" s="1"/>
  <c r="G40" i="1"/>
  <c r="G65" i="1"/>
  <c r="J65" i="1"/>
  <c r="K65" i="1" s="1"/>
  <c r="J62" i="1"/>
  <c r="K62" i="1" s="1"/>
  <c r="G60" i="1"/>
  <c r="J60" i="1"/>
  <c r="K60" i="1" s="1"/>
  <c r="G49" i="1"/>
  <c r="J49" i="1"/>
  <c r="K49" i="1" s="1"/>
  <c r="G44" i="1"/>
  <c r="J44" i="1" s="1"/>
  <c r="K44" i="1" s="1"/>
  <c r="M58" i="1"/>
  <c r="M56" i="1"/>
  <c r="M35" i="1"/>
  <c r="M23" i="1"/>
  <c r="M20" i="1"/>
  <c r="M19" i="1"/>
  <c r="M18" i="1"/>
  <c r="M17" i="1"/>
  <c r="M11" i="1"/>
  <c r="M15" i="1"/>
  <c r="M16" i="1"/>
  <c r="M12" i="1"/>
  <c r="M9" i="1"/>
  <c r="M7" i="1"/>
  <c r="M88" i="1" s="1"/>
  <c r="M8" i="1"/>
  <c r="M40" i="1"/>
  <c r="M39" i="1"/>
  <c r="J7" i="1"/>
  <c r="K7" i="1" s="1"/>
  <c r="J8" i="1"/>
  <c r="K8" i="1" s="1"/>
  <c r="J9" i="1"/>
  <c r="K9" i="1" s="1"/>
  <c r="G22" i="1"/>
  <c r="J22" i="1"/>
  <c r="K22" i="1" s="1"/>
  <c r="G23" i="1"/>
  <c r="J23" i="1"/>
  <c r="K23" i="1" s="1"/>
  <c r="G24" i="1"/>
  <c r="J24" i="1"/>
  <c r="K24" i="1" s="1"/>
  <c r="G25" i="1"/>
  <c r="J25" i="1" s="1"/>
  <c r="K25" i="1" s="1"/>
  <c r="G26" i="1"/>
  <c r="J26" i="1"/>
  <c r="K26" i="1" s="1"/>
  <c r="G27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G33" i="1"/>
  <c r="J33" i="1"/>
  <c r="K33" i="1" s="1"/>
  <c r="G34" i="1"/>
  <c r="J34" i="1" s="1"/>
  <c r="K34" i="1" s="1"/>
  <c r="J36" i="1"/>
  <c r="K36" i="1" s="1"/>
  <c r="G38" i="1"/>
  <c r="J38" i="1" s="1"/>
  <c r="K38" i="1" s="1"/>
  <c r="J40" i="1"/>
  <c r="K40" i="1" s="1"/>
  <c r="G41" i="1"/>
  <c r="J41" i="1"/>
  <c r="K41" i="1" s="1"/>
  <c r="J43" i="1"/>
  <c r="K43" i="1" s="1"/>
  <c r="J48" i="1"/>
  <c r="K48" i="1" s="1"/>
  <c r="G50" i="1"/>
  <c r="J50" i="1"/>
  <c r="K50" i="1" s="1"/>
  <c r="G51" i="1"/>
  <c r="J51" i="1"/>
  <c r="K51" i="1" s="1"/>
  <c r="G53" i="1"/>
  <c r="J53" i="1"/>
  <c r="K53" i="1" s="1"/>
  <c r="G55" i="1"/>
  <c r="J55" i="1" s="1"/>
  <c r="K55" i="1" s="1"/>
  <c r="J56" i="1"/>
  <c r="K56" i="1" s="1"/>
  <c r="G57" i="1"/>
  <c r="J57" i="1" s="1"/>
  <c r="K57" i="1" s="1"/>
  <c r="G58" i="1"/>
  <c r="J58" i="1"/>
  <c r="K58" i="1" s="1"/>
  <c r="J68" i="1"/>
  <c r="K68" i="1" s="1"/>
  <c r="J69" i="1"/>
  <c r="K69" i="1" s="1"/>
  <c r="G71" i="1"/>
  <c r="J71" i="1"/>
  <c r="K71" i="1" s="1"/>
  <c r="J82" i="1"/>
  <c r="K82" i="1" s="1"/>
  <c r="L53" i="1"/>
  <c r="L57" i="1"/>
  <c r="M22" i="1"/>
  <c r="M24" i="1"/>
  <c r="M25" i="1"/>
  <c r="M26" i="1"/>
  <c r="M27" i="1"/>
  <c r="M33" i="1"/>
  <c r="G37" i="1"/>
  <c r="J37" i="1"/>
  <c r="K37" i="1" s="1"/>
  <c r="J88" i="1" l="1"/>
  <c r="K88" i="1" s="1"/>
  <c r="J90" i="1" l="1"/>
  <c r="J92" i="1" l="1"/>
  <c r="L90" i="1"/>
  <c r="L92" i="1" l="1"/>
  <c r="M90" i="1"/>
  <c r="N90" i="1" l="1"/>
  <c r="N92" i="1" s="1"/>
  <c r="M92" i="1"/>
  <c r="O90" i="1" l="1"/>
  <c r="P90" i="1" s="1"/>
</calcChain>
</file>

<file path=xl/sharedStrings.xml><?xml version="1.0" encoding="utf-8"?>
<sst xmlns="http://schemas.openxmlformats.org/spreadsheetml/2006/main" count="330" uniqueCount="283">
  <si>
    <t>Rate 1USD=*yen</t>
  </si>
  <si>
    <t xml:space="preserve">personnel expenses(yen)/h </t>
  </si>
  <si>
    <t>Part No</t>
  </si>
  <si>
    <t>Uinit Price (yen)</t>
  </si>
  <si>
    <t xml:space="preserve">quantity
</t>
  </si>
  <si>
    <t>Spare</t>
  </si>
  <si>
    <t>Price(yen)</t>
  </si>
  <si>
    <t>Price(USD)</t>
  </si>
  <si>
    <t xml:space="preserve">personnel expenses(yen) </t>
  </si>
  <si>
    <t>N01</t>
  </si>
  <si>
    <t>Carbon rod</t>
  </si>
  <si>
    <t>Tail</t>
  </si>
  <si>
    <t>Inside</t>
  </si>
  <si>
    <t>1.2mm</t>
  </si>
  <si>
    <t>N02</t>
  </si>
  <si>
    <t>middle</t>
  </si>
  <si>
    <t>N03</t>
  </si>
  <si>
    <t>Outside</t>
  </si>
  <si>
    <t>N04</t>
  </si>
  <si>
    <t xml:space="preserve">Tail </t>
  </si>
  <si>
    <t>base Outside</t>
  </si>
  <si>
    <t>base Inside</t>
  </si>
  <si>
    <t>N06</t>
  </si>
  <si>
    <t>Wing</t>
  </si>
  <si>
    <t>Base</t>
  </si>
  <si>
    <t>3.0mm</t>
  </si>
  <si>
    <t>N07</t>
  </si>
  <si>
    <t>Tip</t>
  </si>
  <si>
    <t>1.8mm</t>
  </si>
  <si>
    <t>N08</t>
  </si>
  <si>
    <t>Base diagonal</t>
  </si>
  <si>
    <t>1.6mm</t>
  </si>
  <si>
    <t>N09</t>
  </si>
  <si>
    <t>Tip diagonal</t>
  </si>
  <si>
    <t>N10</t>
  </si>
  <si>
    <t>Body</t>
  </si>
  <si>
    <t>1.4-1.5mm</t>
  </si>
  <si>
    <t>N12</t>
  </si>
  <si>
    <t>Piano line</t>
  </si>
  <si>
    <t>wing</t>
  </si>
  <si>
    <t>Base+Bore2mmSpacer</t>
  </si>
  <si>
    <t>1.4mm</t>
  </si>
  <si>
    <t>25mm plus bent part</t>
  </si>
  <si>
    <t>N13</t>
  </si>
  <si>
    <t>Arm+Bore2mmSpacer</t>
  </si>
  <si>
    <t>20mm plus bent part</t>
  </si>
  <si>
    <t>N14</t>
  </si>
  <si>
    <t>Rear</t>
  </si>
  <si>
    <t>N15</t>
  </si>
  <si>
    <t>connection rod</t>
  </si>
  <si>
    <t>1.0mm</t>
  </si>
  <si>
    <t>N17</t>
  </si>
  <si>
    <t xml:space="preserve">connection stick of Articulated wing </t>
  </si>
  <si>
    <t>162mm plus bent part</t>
  </si>
  <si>
    <t>N18</t>
  </si>
  <si>
    <t>N19</t>
  </si>
  <si>
    <t>Stopper</t>
  </si>
  <si>
    <t>N16</t>
  </si>
  <si>
    <t>connection rod stopper</t>
  </si>
  <si>
    <t>N20</t>
  </si>
  <si>
    <t>Base stopper</t>
  </si>
  <si>
    <t>1.4or
1.2mm</t>
  </si>
  <si>
    <t>N21</t>
  </si>
  <si>
    <t>Arm stopper</t>
  </si>
  <si>
    <t>N22</t>
  </si>
  <si>
    <t>Rear stopper</t>
  </si>
  <si>
    <t>N23</t>
  </si>
  <si>
    <t>Stainless steel Pipe</t>
  </si>
  <si>
    <t>Wing base</t>
  </si>
  <si>
    <t xml:space="preserve">ID3mm OD 4mmLength 25-30mm 1.4mmBore-14mm - 1.4mmBore </t>
  </si>
  <si>
    <t xml:space="preserve"> The carbon rod of 3 mm is installed.
It is processed a 1.4 mm hole.
</t>
  </si>
  <si>
    <t>http://store.shopping.yahoo.co.jp/kurashi-h/00871482-001.html</t>
  </si>
  <si>
    <t xml:space="preserve">
in Japan only</t>
  </si>
  <si>
    <t>N24</t>
  </si>
  <si>
    <t>Aluminum or Copper Pipe</t>
  </si>
  <si>
    <t>Wing arm Base in Ball link</t>
  </si>
  <si>
    <t>ID1.5mm OD 2mm</t>
  </si>
  <si>
    <t>Length 3.7mm</t>
  </si>
  <si>
    <t>N25</t>
  </si>
  <si>
    <t>Ball link</t>
  </si>
  <si>
    <t xml:space="preserve">Wing arm </t>
  </si>
  <si>
    <t>Dubro Swivel Ball Links 2-56 (12) with screw.</t>
  </si>
  <si>
    <t>http://www3.towerhobbies.com/cgi-bin/wti0001p?&amp;W=001201076&amp;I=LXAPC4&amp;P=K</t>
  </si>
  <si>
    <t>N26</t>
  </si>
  <si>
    <t>For Rachet</t>
  </si>
  <si>
    <t>OD2mm L 6mm Bolt Nut*2</t>
  </si>
  <si>
    <t>11yen+5+5yen</t>
  </si>
  <si>
    <t>N27</t>
  </si>
  <si>
    <t>For Motor FIX</t>
  </si>
  <si>
    <t>OD2.6mm  L5mm Bolt and washer</t>
  </si>
  <si>
    <t>http://wilco.jp/products/U/UC.html</t>
  </si>
  <si>
    <t>N28</t>
  </si>
  <si>
    <t>For Servo FIX</t>
  </si>
  <si>
    <t>OD2mm L 6mm Bolt and Nut</t>
  </si>
  <si>
    <t>N29</t>
  </si>
  <si>
    <t>Gear</t>
  </si>
  <si>
    <t>Main</t>
  </si>
  <si>
    <t>N30</t>
  </si>
  <si>
    <t>The both edges of the shaft are processed and E-clip is installed.</t>
  </si>
  <si>
    <t>N31</t>
  </si>
  <si>
    <t>3mm ball bearing with Flange</t>
  </si>
  <si>
    <t>PJ-BBF630ZZ ID3mmOD6mm OverallWidth2.5mmFlangeThickness0.6mmFlangeDiameter7.2mm</t>
  </si>
  <si>
    <t>N32</t>
  </si>
  <si>
    <t>N33</t>
  </si>
  <si>
    <t xml:space="preserve">The reinforcement in the back of the gear
</t>
  </si>
  <si>
    <t>1mm CarbonPlate</t>
  </si>
  <si>
    <t xml:space="preserve">It is processed and the 2 mm hole is open.
</t>
  </si>
  <si>
    <t>First</t>
  </si>
  <si>
    <t xml:space="preserve">It is processed and PinionWire is inserted.
</t>
  </si>
  <si>
    <t>N51</t>
  </si>
  <si>
    <t>4mm ball bearing with Flange</t>
  </si>
  <si>
    <r>
      <t>PJ-BBF840ZZ</t>
    </r>
    <r>
      <rPr>
        <sz val="11"/>
        <color indexed="10"/>
        <rFont val="ＭＳ Ｐゴシック"/>
        <family val="3"/>
        <charset val="128"/>
      </rPr>
      <t xml:space="preserve"> ID4mmOD8mm OverallWidth3mmFlangeThickness0.6</t>
    </r>
    <r>
      <rPr>
        <sz val="11"/>
        <rFont val="ＭＳ Ｐゴシック"/>
        <family val="3"/>
        <charset val="128"/>
      </rPr>
      <t>mmFlangeDiameter9mm</t>
    </r>
  </si>
  <si>
    <t>N37</t>
  </si>
  <si>
    <t>Spacer for Gear position setting</t>
  </si>
  <si>
    <r>
      <t>ID 4mm Length 6mm</t>
    </r>
    <r>
      <rPr>
        <sz val="11"/>
        <rFont val="ＭＳ Ｐゴシック"/>
        <family val="3"/>
        <charset val="128"/>
      </rPr>
      <t xml:space="preserve">  OD6mm plastic pipe</t>
    </r>
  </si>
  <si>
    <t>N38</t>
  </si>
  <si>
    <t>Pinion Gear</t>
  </si>
  <si>
    <t>N39</t>
  </si>
  <si>
    <t>Gear box</t>
  </si>
  <si>
    <t>Spacer</t>
  </si>
  <si>
    <t>http://wilco.jp/products/PE/CPE.html</t>
  </si>
  <si>
    <t>in Japan only</t>
  </si>
  <si>
    <t>N40</t>
  </si>
  <si>
    <t>Bolt &amp; Nut</t>
  </si>
  <si>
    <t xml:space="preserve">http://www.rakuten.co.jp/nejiya/?scid=me_ich_conf_02
</t>
  </si>
  <si>
    <t>N42</t>
  </si>
  <si>
    <t>For 3mm Shaft</t>
  </si>
  <si>
    <t>E-clip</t>
  </si>
  <si>
    <t>GWS E-Clip for IPS &amp; EPS 3mm Shaft</t>
  </si>
  <si>
    <t>For fixation</t>
  </si>
  <si>
    <t xml:space="preserve">PE line for Fishing No 2.25 </t>
  </si>
  <si>
    <t>12m</t>
  </si>
  <si>
    <t>Super Glue and A hardening agent</t>
  </si>
  <si>
    <t>N43</t>
  </si>
  <si>
    <t>For wing hinge</t>
  </si>
  <si>
    <t>2m</t>
  </si>
  <si>
    <t>http://store.shopping.yahoo.co.jp/tokushu-sozai/index.html</t>
  </si>
  <si>
    <t>N44</t>
  </si>
  <si>
    <t>0.5Oz RipStop</t>
  </si>
  <si>
    <t>3cm*30cm</t>
  </si>
  <si>
    <t>For wing film adhesion</t>
  </si>
  <si>
    <t>N45</t>
  </si>
  <si>
    <t xml:space="preserve">For wing </t>
  </si>
  <si>
    <t>Orcofilm EN-158C</t>
  </si>
  <si>
    <t>It is cut wing shape and the tape which is necessary to paste is set. And spare for repair</t>
  </si>
  <si>
    <t xml:space="preserve">Orcofilm EN-158C will get possible to be purchased from me.
</t>
  </si>
  <si>
    <t>OrconFilmAN36</t>
  </si>
  <si>
    <t>N46</t>
  </si>
  <si>
    <t>electric apparatus</t>
  </si>
  <si>
    <t>RX</t>
  </si>
  <si>
    <t>OrangeRx R415 Spektrum DSM2 Compatible 4Ch Micro 2.4Ghz Receiver or Other light RX</t>
  </si>
  <si>
    <t>http://www.hobbyking.com/hobbyking/store/uh_viewItem.asp?idproduct=11972</t>
  </si>
  <si>
    <t>N47</t>
  </si>
  <si>
    <t>ESC</t>
  </si>
  <si>
    <t>H-KING 10A Fixed Wing Brushless Speed Controller or Castle Creations Thunderbird-9 Brushless ESC</t>
  </si>
  <si>
    <t>http://www.hobbyking.com/hobbyking/store/uh_viewItem.asp?idproduct=8479</t>
  </si>
  <si>
    <t>N48</t>
  </si>
  <si>
    <t>Motor</t>
  </si>
  <si>
    <t>with ID2mm connector  Male 3 Female 3</t>
  </si>
  <si>
    <t>http://www.hobbyking.com/hobbyking/store/uh_viewItem.asp?idproduct=14870</t>
  </si>
  <si>
    <t>N49</t>
  </si>
  <si>
    <t>Battery</t>
  </si>
  <si>
    <t>Lipo　2cell 240mAh G3</t>
  </si>
  <si>
    <t>Servo</t>
  </si>
  <si>
    <t>http://www.hobbyking.com/hobbyking/store/uh_viewItem.asp?idproduct=28284</t>
  </si>
  <si>
    <t>connector</t>
  </si>
  <si>
    <t>ID2mm connector  Male 2 for Battery</t>
  </si>
  <si>
    <t>For electric apparatus</t>
  </si>
  <si>
    <t>Velcro Tape</t>
  </si>
  <si>
    <t>30cm</t>
  </si>
  <si>
    <t>N52</t>
  </si>
  <si>
    <t>support of wing Rear</t>
  </si>
  <si>
    <t>center of wing rear</t>
  </si>
  <si>
    <t xml:space="preserve">1.5-1.6mmCarbon rod </t>
  </si>
  <si>
    <t>1.5-1.6mm</t>
  </si>
  <si>
    <t>80mm</t>
  </si>
  <si>
    <t>N53</t>
  </si>
  <si>
    <t>cable tie</t>
  </si>
  <si>
    <t xml:space="preserve">forfixation of  connection stick of Articulated wing </t>
  </si>
  <si>
    <t>N54</t>
  </si>
  <si>
    <t xml:space="preserve">For Battery </t>
  </si>
  <si>
    <t>EPP block</t>
  </si>
  <si>
    <t>Tool</t>
  </si>
  <si>
    <t>Drill</t>
  </si>
  <si>
    <t>1.5mm</t>
  </si>
  <si>
    <t>1.5mm and 2mm</t>
  </si>
  <si>
    <t>Packing of all parts</t>
  </si>
  <si>
    <t>SubTotal</t>
  </si>
  <si>
    <t>http://www.post.japanpost.jp/int/charge/list/ems_all_en.html)</t>
  </si>
  <si>
    <t>Total</t>
  </si>
  <si>
    <t>To</t>
  </si>
  <si>
    <t>From</t>
  </si>
  <si>
    <t xml:space="preserve">Fee of Papal </t>
    <phoneticPr fontId="6"/>
  </si>
  <si>
    <t>EMS postageYen</t>
    <phoneticPr fontId="6"/>
  </si>
  <si>
    <t>Total price USD</t>
    <phoneticPr fontId="6"/>
  </si>
  <si>
    <t xml:space="preserve">add Postage(EMS)  </t>
    <phoneticPr fontId="6"/>
  </si>
  <si>
    <t>Postage(yen) of Items</t>
    <phoneticPr fontId="6"/>
  </si>
  <si>
    <t>N56</t>
    <phoneticPr fontId="6"/>
  </si>
  <si>
    <t>ID 2mm OD 5mm length 6mm Peek Spacer</t>
    <phoneticPr fontId="6"/>
  </si>
  <si>
    <t>OD 2mm  L20mm Bolt and Nut for Gear box</t>
    <phoneticPr fontId="6"/>
  </si>
  <si>
    <t>The hezagonal wrench</t>
    <phoneticPr fontId="6"/>
  </si>
  <si>
    <t>3M Super Seam Tape 9460 or 9672</t>
    <phoneticPr fontId="6"/>
  </si>
  <si>
    <t>Kevlar line OD0.5mm Or PE line No 2.5</t>
    <phoneticPr fontId="6"/>
  </si>
  <si>
    <t xml:space="preserve">It is processed(L38mm) and it is connected.
</t>
    <phoneticPr fontId="6"/>
  </si>
  <si>
    <t>Make 1.5mm hole at 6.5mm from center</t>
    <phoneticPr fontId="6"/>
  </si>
  <si>
    <t>It is processed and a 2 mm hole is made in the 6.5 mm place from the center.And Bolt For Rachet</t>
    <phoneticPr fontId="6"/>
  </si>
  <si>
    <t>2000yen /h</t>
    <phoneticPr fontId="6"/>
  </si>
  <si>
    <t>N50-1</t>
    <phoneticPr fontId="6"/>
  </si>
  <si>
    <t>N50-2</t>
    <phoneticPr fontId="6"/>
  </si>
  <si>
    <t>DM 4.7g servo (size 21.6x17.7x8.0mm)</t>
    <phoneticPr fontId="6"/>
  </si>
  <si>
    <t xml:space="preserve">Turnigy T541BBD High Torque Nano Digital Servo 0.7kg / 4.7g / 0.09Sec(Size: 19mm x19.5 mm x 8.25mm) </t>
    <phoneticPr fontId="6"/>
  </si>
  <si>
    <t>Painting</t>
    <phoneticPr fontId="6"/>
  </si>
  <si>
    <t>subtotal price yen</t>
    <phoneticPr fontId="6"/>
  </si>
  <si>
    <t>Idea</t>
    <phoneticPr fontId="6"/>
  </si>
  <si>
    <t>3DPrintingParts Shapeways</t>
    <phoneticPr fontId="6"/>
  </si>
  <si>
    <t xml:space="preserve">Turnigy 2211 Brushless Indoor Motor 2300kv </t>
    <phoneticPr fontId="6"/>
  </si>
  <si>
    <t>N48-2</t>
    <phoneticPr fontId="6"/>
  </si>
  <si>
    <t>Turnigy 1811 Brushless Indoor Motor 3800kv</t>
    <phoneticPr fontId="6"/>
  </si>
  <si>
    <t xml:space="preserve">personnel expenses for making </t>
    <phoneticPr fontId="6"/>
  </si>
  <si>
    <t>Surface Body</t>
    <phoneticPr fontId="6"/>
  </si>
  <si>
    <t>with ID2mm connector  Male 2 for Charger</t>
    <phoneticPr fontId="6"/>
  </si>
  <si>
    <t>Kestrel31iV (Finished) with articulated wings 3D print with ESC Servo Battery Motor (without GLDAB and with Surface body of EPP)</t>
    <phoneticPr fontId="6"/>
  </si>
  <si>
    <t>diameter</t>
    <phoneticPr fontId="6"/>
  </si>
  <si>
    <t>length  mm</t>
    <phoneticPr fontId="6"/>
  </si>
  <si>
    <t>Reinforcement upper</t>
    <phoneticPr fontId="6"/>
  </si>
  <si>
    <t>Reinforcement lower</t>
    <phoneticPr fontId="6"/>
  </si>
  <si>
    <t>1.2mm</t>
    <phoneticPr fontId="6"/>
  </si>
  <si>
    <t>http://www.caliberhobby.com/ps_eps.html</t>
    <phoneticPr fontId="6"/>
  </si>
  <si>
    <t xml:space="preserve"> M04 10TBore2mm</t>
    <phoneticPr fontId="6"/>
  </si>
  <si>
    <t>EPS 9D  10T</t>
    <phoneticPr fontId="6"/>
  </si>
  <si>
    <t>Motor</t>
    <phoneticPr fontId="6"/>
  </si>
  <si>
    <t>http://www.hobbyking.com/hobbyking/store/uh_viewItem.asp?idProduct=8140</t>
    <phoneticPr fontId="6"/>
  </si>
  <si>
    <t>60TM0.4 Bore4mm</t>
    <phoneticPr fontId="6"/>
  </si>
  <si>
    <t>EPSC-4A</t>
    <phoneticPr fontId="6"/>
  </si>
  <si>
    <t>http://www.caliberhobby.com/ps_eps.html</t>
    <phoneticPr fontId="6"/>
  </si>
  <si>
    <t>N34-2</t>
    <phoneticPr fontId="6"/>
  </si>
  <si>
    <t>N34-1</t>
    <phoneticPr fontId="6"/>
  </si>
  <si>
    <t xml:space="preserve">66TM0.4 Bore3mm
Acetal
 GWS EPS 4D </t>
    <phoneticPr fontId="6"/>
  </si>
  <si>
    <t>58TM0.4 Bore3mm -&gt;4mm
GWS EPS 1 (=GWS IPS-41)</t>
    <phoneticPr fontId="6"/>
  </si>
  <si>
    <t xml:space="preserve">Stainless shaft 3mm GWS EPS 6A DRIVESHAFT </t>
    <phoneticPr fontId="6"/>
  </si>
  <si>
    <t>N35</t>
  </si>
  <si>
    <t>64P8TPinionWire</t>
  </si>
  <si>
    <t>40mm</t>
  </si>
  <si>
    <t>http://www.sdp-si.com/</t>
  </si>
  <si>
    <t>OD2mm L6mm Bolt for Rachet sysytem</t>
  </si>
  <si>
    <t>6mm</t>
    <phoneticPr fontId="6"/>
  </si>
  <si>
    <t>1.7mm</t>
    <phoneticPr fontId="6"/>
  </si>
  <si>
    <t xml:space="preserve">With AutoDesk123DesignFile </t>
    <phoneticPr fontId="6"/>
  </si>
  <si>
    <t>USD</t>
    <phoneticPr fontId="6"/>
  </si>
  <si>
    <t>Total price with fee yen</t>
    <phoneticPr fontId="6"/>
  </si>
  <si>
    <t xml:space="preserve">Total price </t>
    <phoneticPr fontId="6"/>
  </si>
  <si>
    <t>New GLDAB</t>
    <phoneticPr fontId="6"/>
  </si>
  <si>
    <t>Transmitter</t>
    <phoneticPr fontId="6"/>
  </si>
  <si>
    <t>Receiver</t>
    <phoneticPr fontId="6"/>
  </si>
  <si>
    <t>Airfoil</t>
    <phoneticPr fontId="6"/>
  </si>
  <si>
    <t>EPP and 1mmcarbonplate</t>
    <phoneticPr fontId="6"/>
  </si>
  <si>
    <t>1.4mm</t>
    <phoneticPr fontId="6"/>
  </si>
  <si>
    <t>85（86）mm plus bent part</t>
    <phoneticPr fontId="6"/>
  </si>
  <si>
    <t>N03-0</t>
    <phoneticPr fontId="6"/>
  </si>
  <si>
    <t>inforce</t>
    <phoneticPr fontId="6"/>
  </si>
  <si>
    <t>1.4mm</t>
    <phoneticPr fontId="6"/>
  </si>
  <si>
    <t>N05-2</t>
  </si>
  <si>
    <t>Base inforce</t>
    <phoneticPr fontId="6"/>
  </si>
  <si>
    <t>1.2mm</t>
    <phoneticPr fontId="6"/>
  </si>
  <si>
    <t>N05-3</t>
  </si>
  <si>
    <t>N05-1</t>
    <phoneticPr fontId="6"/>
  </si>
  <si>
    <t>N11-1</t>
    <phoneticPr fontId="6"/>
  </si>
  <si>
    <t>N11-2</t>
  </si>
  <si>
    <t>1.4mm</t>
    <phoneticPr fontId="6"/>
  </si>
  <si>
    <t>N57</t>
    <phoneticPr fontId="6"/>
  </si>
  <si>
    <t>For Rearstopper of wing</t>
    <phoneticPr fontId="6"/>
  </si>
  <si>
    <t>Velcro Tape135</t>
    <phoneticPr fontId="6"/>
  </si>
  <si>
    <t>For rear digonal carbon rod hinge adjust</t>
    <phoneticPr fontId="6"/>
  </si>
  <si>
    <t>ID2mm Nut</t>
    <phoneticPr fontId="6"/>
  </si>
  <si>
    <t>Marks Ltd.
　　　　　　　　　Kazuhiko Kakuta
  1-16-8 Chuo, Tagajyo, Miyagi, 985-0873, Japan
  TEL81-022-389-0722　FAX81-022-389-0723
   BZH07614@nifty.ne.jp</t>
    <phoneticPr fontId="6"/>
  </si>
  <si>
    <t>An account of PayPal</t>
    <phoneticPr fontId="6"/>
  </si>
  <si>
    <t>BZH07614@nifty.ne.jp</t>
    <phoneticPr fontId="6"/>
  </si>
  <si>
    <t xml:space="preserve">Final Total price </t>
    <phoneticPr fontId="6"/>
  </si>
  <si>
    <t>JPY(Yen)</t>
    <phoneticPr fontId="6"/>
  </si>
  <si>
    <t>USD</t>
    <phoneticPr fontId="6"/>
  </si>
  <si>
    <t>Turnigy D56MG Coreless Digital Metal Gear Servo 1.2kg / 5.6g / .10sec</t>
    <phoneticPr fontId="6"/>
  </si>
  <si>
    <t>http://www.hobbyking.com/hobbyking/store/uh_viewItem.asp?idProduct=49630</t>
    <phoneticPr fontId="6"/>
  </si>
  <si>
    <t>N50-1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</si>
</sst>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0_ "/>
    <numFmt numFmtId="178" formatCode="0.00_);[Red]\(0.00\)"/>
    <numFmt numFmtId="179" formatCode="0.0_);[Red]\(0.0\)"/>
    <numFmt numFmtId="180" formatCode="0.0_ "/>
  </numFmts>
  <fonts count="20" x14ac:knownFonts="1"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u/>
      <sz val="11"/>
      <color indexed="55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u/>
      <sz val="11"/>
      <color theme="0" tint="-0.499984740745262"/>
      <name val="ＭＳ Ｐゴシック"/>
      <family val="3"/>
      <charset val="128"/>
    </font>
    <font>
      <u/>
      <sz val="11"/>
      <color theme="0" tint="-0.3499862666707357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2" applyBorder="1" applyAlignment="1" applyProtection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2" applyFill="1" applyBorder="1" applyAlignment="1" applyProtection="1">
      <alignment vertical="center" wrapText="1"/>
    </xf>
    <xf numFmtId="14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8" fontId="0" fillId="0" borderId="1" xfId="0" applyNumberFormat="1" applyBorder="1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9" fontId="0" fillId="0" borderId="0" xfId="1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2" applyAlignment="1" applyProtection="1">
      <alignment vertical="center" wrapText="1"/>
    </xf>
    <xf numFmtId="179" fontId="0" fillId="0" borderId="0" xfId="0" applyNumberFormat="1" applyAlignment="1">
      <alignment vertical="center" wrapText="1"/>
    </xf>
    <xf numFmtId="179" fontId="0" fillId="0" borderId="1" xfId="0" applyNumberFormat="1" applyBorder="1" applyAlignment="1">
      <alignment vertical="center" wrapText="1"/>
    </xf>
    <xf numFmtId="179" fontId="3" fillId="0" borderId="1" xfId="0" applyNumberFormat="1" applyFont="1" applyBorder="1" applyAlignment="1">
      <alignment vertical="center" wrapText="1"/>
    </xf>
    <xf numFmtId="179" fontId="0" fillId="0" borderId="1" xfId="0" applyNumberForma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176" fontId="0" fillId="0" borderId="2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vertical="center" wrapText="1"/>
    </xf>
    <xf numFmtId="178" fontId="0" fillId="0" borderId="2" xfId="0" applyNumberForma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177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2" xfId="0" applyNumberForma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7" fontId="8" fillId="0" borderId="1" xfId="0" applyNumberFormat="1" applyFont="1" applyBorder="1" applyAlignment="1">
      <alignment vertical="center" wrapText="1"/>
    </xf>
    <xf numFmtId="178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 wrapText="1"/>
    </xf>
    <xf numFmtId="177" fontId="9" fillId="0" borderId="1" xfId="0" applyNumberFormat="1" applyFont="1" applyBorder="1" applyAlignment="1">
      <alignment vertical="center" wrapText="1"/>
    </xf>
    <xf numFmtId="178" fontId="9" fillId="0" borderId="1" xfId="0" applyNumberFormat="1" applyFont="1" applyBorder="1" applyAlignment="1">
      <alignment vertical="center" wrapText="1"/>
    </xf>
    <xf numFmtId="0" fontId="10" fillId="0" borderId="1" xfId="2" applyFont="1" applyBorder="1" applyAlignment="1" applyProtection="1">
      <alignment vertical="center" wrapText="1"/>
    </xf>
    <xf numFmtId="0" fontId="9" fillId="0" borderId="0" xfId="0" applyFont="1" applyAlignment="1">
      <alignment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2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9" fontId="11" fillId="0" borderId="1" xfId="0" applyNumberFormat="1" applyFont="1" applyBorder="1" applyAlignment="1">
      <alignment vertical="center" wrapText="1"/>
    </xf>
    <xf numFmtId="176" fontId="11" fillId="0" borderId="1" xfId="0" applyNumberFormat="1" applyFont="1" applyBorder="1" applyAlignment="1">
      <alignment vertical="center" wrapText="1"/>
    </xf>
    <xf numFmtId="177" fontId="11" fillId="0" borderId="1" xfId="0" applyNumberFormat="1" applyFont="1" applyBorder="1" applyAlignment="1">
      <alignment vertical="center" wrapText="1"/>
    </xf>
    <xf numFmtId="178" fontId="11" fillId="0" borderId="1" xfId="0" applyNumberFormat="1" applyFont="1" applyBorder="1" applyAlignment="1">
      <alignment vertical="center" wrapText="1"/>
    </xf>
    <xf numFmtId="0" fontId="12" fillId="0" borderId="1" xfId="2" applyFont="1" applyBorder="1" applyAlignment="1" applyProtection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Border="1" applyAlignment="1">
      <alignment vertical="center" wrapText="1"/>
    </xf>
    <xf numFmtId="176" fontId="13" fillId="0" borderId="1" xfId="0" applyNumberFormat="1" applyFont="1" applyBorder="1" applyAlignment="1">
      <alignment vertical="center" wrapText="1"/>
    </xf>
    <xf numFmtId="177" fontId="13" fillId="0" borderId="1" xfId="0" applyNumberFormat="1" applyFont="1" applyBorder="1" applyAlignment="1">
      <alignment vertical="center" wrapText="1"/>
    </xf>
    <xf numFmtId="0" fontId="14" fillId="0" borderId="1" xfId="2" applyFont="1" applyBorder="1" applyAlignment="1" applyProtection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vertical="center" wrapText="1"/>
    </xf>
    <xf numFmtId="176" fontId="15" fillId="0" borderId="1" xfId="0" applyNumberFormat="1" applyFont="1" applyBorder="1" applyAlignment="1">
      <alignment vertical="center" wrapText="1"/>
    </xf>
    <xf numFmtId="177" fontId="15" fillId="0" borderId="1" xfId="0" applyNumberFormat="1" applyFont="1" applyBorder="1" applyAlignment="1">
      <alignment vertical="center" wrapText="1"/>
    </xf>
    <xf numFmtId="178" fontId="15" fillId="0" borderId="1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" xfId="0" applyFont="1" applyBorder="1" applyAlignment="1">
      <alignment vertical="center" wrapText="1"/>
    </xf>
    <xf numFmtId="179" fontId="16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vertical="center" wrapText="1"/>
    </xf>
    <xf numFmtId="177" fontId="16" fillId="0" borderId="1" xfId="0" applyNumberFormat="1" applyFont="1" applyBorder="1" applyAlignment="1">
      <alignment vertical="center" wrapText="1"/>
    </xf>
    <xf numFmtId="178" fontId="16" fillId="0" borderId="1" xfId="0" applyNumberFormat="1" applyFont="1" applyBorder="1" applyAlignment="1">
      <alignment vertical="center" wrapText="1"/>
    </xf>
    <xf numFmtId="179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179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9" fontId="17" fillId="0" borderId="1" xfId="0" applyNumberFormat="1" applyFont="1" applyBorder="1" applyAlignment="1">
      <alignment vertical="center" wrapText="1"/>
    </xf>
    <xf numFmtId="176" fontId="17" fillId="0" borderId="1" xfId="0" applyNumberFormat="1" applyFont="1" applyBorder="1" applyAlignment="1">
      <alignment vertical="center" wrapText="1"/>
    </xf>
    <xf numFmtId="177" fontId="17" fillId="0" borderId="1" xfId="0" applyNumberFormat="1" applyFont="1" applyBorder="1" applyAlignment="1">
      <alignment vertical="center" wrapText="1"/>
    </xf>
    <xf numFmtId="178" fontId="17" fillId="0" borderId="1" xfId="0" applyNumberFormat="1" applyFont="1" applyBorder="1" applyAlignment="1">
      <alignment vertical="center" wrapText="1"/>
    </xf>
    <xf numFmtId="0" fontId="18" fillId="0" borderId="1" xfId="2" applyFont="1" applyBorder="1" applyAlignment="1" applyProtection="1">
      <alignment vertical="center"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9" fillId="0" borderId="1" xfId="2" applyFont="1" applyBorder="1" applyAlignment="1" applyProtection="1">
      <alignment vertical="center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ilco.jp/products/U/UC.html" TargetMode="External"/><Relationship Id="rId13" Type="http://schemas.openxmlformats.org/officeDocument/2006/relationships/hyperlink" Target="http://www.caliberhobby.com/ps_eps.html" TargetMode="External"/><Relationship Id="rId18" Type="http://schemas.openxmlformats.org/officeDocument/2006/relationships/hyperlink" Target="http://www.caliberhobby.com/ps_eps.html" TargetMode="External"/><Relationship Id="rId3" Type="http://schemas.openxmlformats.org/officeDocument/2006/relationships/hyperlink" Target="http://www.hobbyking.com/hobbyking/store/uh_viewItem.asp?idproduct=8479" TargetMode="External"/><Relationship Id="rId21" Type="http://schemas.openxmlformats.org/officeDocument/2006/relationships/hyperlink" Target="http://www.hobbyking.com/hobbyking/store/uh_viewItem.asp?idProduct=49630" TargetMode="External"/><Relationship Id="rId7" Type="http://schemas.openxmlformats.org/officeDocument/2006/relationships/hyperlink" Target="http://wilco.jp/products/PE/CPE.html" TargetMode="External"/><Relationship Id="rId12" Type="http://schemas.openxmlformats.org/officeDocument/2006/relationships/hyperlink" Target="http://www.caliberhobby.com/ps_eps.html" TargetMode="External"/><Relationship Id="rId17" Type="http://schemas.openxmlformats.org/officeDocument/2006/relationships/hyperlink" Target="http://www.caliberhobby.com/ps_eps.html" TargetMode="External"/><Relationship Id="rId2" Type="http://schemas.openxmlformats.org/officeDocument/2006/relationships/hyperlink" Target="http://www.hobbyking.com/hobbyking/store/uh_viewItem.asp?idproduct=14870" TargetMode="External"/><Relationship Id="rId16" Type="http://schemas.openxmlformats.org/officeDocument/2006/relationships/hyperlink" Target="http://www.caliberhobby.com/ps_eps.html" TargetMode="External"/><Relationship Id="rId20" Type="http://schemas.openxmlformats.org/officeDocument/2006/relationships/hyperlink" Target="mailto:BZH07614@nifty.ne.jp" TargetMode="External"/><Relationship Id="rId1" Type="http://schemas.openxmlformats.org/officeDocument/2006/relationships/hyperlink" Target="http://www3.towerhobbies.com/cgi-bin/wti0001p?&amp;W=001201076&amp;I=LXAPC4&amp;P=K" TargetMode="External"/><Relationship Id="rId6" Type="http://schemas.openxmlformats.org/officeDocument/2006/relationships/hyperlink" Target="http://store.shopping.yahoo.co.jp/kurashi-h/00871482-001.html" TargetMode="External"/><Relationship Id="rId11" Type="http://schemas.openxmlformats.org/officeDocument/2006/relationships/hyperlink" Target="http://www.post.japanpost.jp/int/charge/list/ems_all_en.html)" TargetMode="External"/><Relationship Id="rId5" Type="http://schemas.openxmlformats.org/officeDocument/2006/relationships/hyperlink" Target="http://www.hobbyking.com/hobbyking/store/uh_viewItem.asp?idproduct=11972" TargetMode="External"/><Relationship Id="rId15" Type="http://schemas.openxmlformats.org/officeDocument/2006/relationships/hyperlink" Target="http://www.hobbyking.com/hobbyking/store/uh_viewItem.asp?idProduct=8140" TargetMode="External"/><Relationship Id="rId10" Type="http://schemas.openxmlformats.org/officeDocument/2006/relationships/hyperlink" Target="http://store.shopping.yahoo.co.jp/tokushu-sozai/index.html" TargetMode="External"/><Relationship Id="rId19" Type="http://schemas.openxmlformats.org/officeDocument/2006/relationships/hyperlink" Target="http://www.sdp-si.com/" TargetMode="External"/><Relationship Id="rId4" Type="http://schemas.openxmlformats.org/officeDocument/2006/relationships/hyperlink" Target="http://www.hobbyking.com/hobbyking/store/uh_viewItem.asp?idproduct=28284" TargetMode="External"/><Relationship Id="rId9" Type="http://schemas.openxmlformats.org/officeDocument/2006/relationships/hyperlink" Target="http://www.rakuten.co.jp/nejiya/?scid=me_ich_conf_02" TargetMode="External"/><Relationship Id="rId14" Type="http://schemas.openxmlformats.org/officeDocument/2006/relationships/hyperlink" Target="http://www.caliberhobby.com/ps_eps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8"/>
  <sheetViews>
    <sheetView tabSelected="1" zoomScale="75" zoomScaleNormal="75" workbookViewId="0">
      <pane xSplit="6" ySplit="2" topLeftCell="K68" activePane="bottomRight" state="frozen"/>
      <selection pane="topRight"/>
      <selection pane="bottomLeft"/>
      <selection pane="bottomRight" activeCell="P75" sqref="P75"/>
    </sheetView>
  </sheetViews>
  <sheetFormatPr defaultRowHeight="13.5" x14ac:dyDescent="0.15"/>
  <cols>
    <col min="1" max="1" width="6.125" style="1" customWidth="1"/>
    <col min="2" max="2" width="13.625" style="1" customWidth="1"/>
    <col min="3" max="3" width="12" style="1" customWidth="1"/>
    <col min="4" max="4" width="17.25" style="1" customWidth="1"/>
    <col min="5" max="5" width="10.875" style="1" customWidth="1"/>
    <col min="6" max="6" width="15.75" style="1" customWidth="1"/>
    <col min="7" max="7" width="6.875" style="19" customWidth="1"/>
    <col min="8" max="8" width="6.5" style="26" customWidth="1"/>
    <col min="9" max="9" width="6.5" style="15" customWidth="1"/>
    <col min="10" max="10" width="10.5" style="1" customWidth="1"/>
    <col min="11" max="11" width="6.625" style="21" customWidth="1"/>
    <col min="12" max="12" width="11.25" style="21" customWidth="1"/>
    <col min="13" max="13" width="9.875" style="26" customWidth="1"/>
    <col min="14" max="14" width="13.5" style="1" customWidth="1"/>
    <col min="15" max="15" width="9" style="1" bestFit="1"/>
    <col min="16" max="16384" width="9" style="1"/>
  </cols>
  <sheetData>
    <row r="1" spans="1:15" ht="40.5" x14ac:dyDescent="0.15">
      <c r="A1" s="22" t="s">
        <v>221</v>
      </c>
      <c r="N1" s="1" t="s">
        <v>0</v>
      </c>
      <c r="O1" s="29" t="s">
        <v>1</v>
      </c>
    </row>
    <row r="2" spans="1:15" ht="40.5" x14ac:dyDescent="0.15">
      <c r="A2" s="2" t="s">
        <v>2</v>
      </c>
      <c r="B2" s="9"/>
      <c r="C2" s="9">
        <v>42398</v>
      </c>
      <c r="D2" s="2"/>
      <c r="E2" s="2" t="s">
        <v>222</v>
      </c>
      <c r="F2" s="2" t="s">
        <v>223</v>
      </c>
      <c r="G2" s="16" t="s">
        <v>3</v>
      </c>
      <c r="H2" s="27" t="s">
        <v>4</v>
      </c>
      <c r="I2" s="6" t="s">
        <v>5</v>
      </c>
      <c r="J2" s="2" t="s">
        <v>6</v>
      </c>
      <c r="K2" s="20" t="s">
        <v>7</v>
      </c>
      <c r="L2" s="20" t="s">
        <v>196</v>
      </c>
      <c r="M2" s="29" t="s">
        <v>8</v>
      </c>
      <c r="N2" s="2">
        <v>119</v>
      </c>
      <c r="O2" s="1">
        <v>2000</v>
      </c>
    </row>
    <row r="3" spans="1:15" s="99" customFormat="1" x14ac:dyDescent="0.15">
      <c r="A3" s="2"/>
      <c r="B3" s="9" t="s">
        <v>251</v>
      </c>
      <c r="C3" s="9"/>
      <c r="D3" s="2"/>
      <c r="E3" s="2"/>
      <c r="F3" s="2"/>
      <c r="G3" s="16">
        <v>8000</v>
      </c>
      <c r="H3" s="27">
        <v>0</v>
      </c>
      <c r="I3" s="6"/>
      <c r="J3" s="2">
        <f>G3*H3</f>
        <v>0</v>
      </c>
      <c r="K3" s="20">
        <f>J3*$N$2</f>
        <v>0</v>
      </c>
      <c r="L3" s="20"/>
      <c r="M3" s="29">
        <f>2000*H3</f>
        <v>0</v>
      </c>
      <c r="N3" s="2"/>
    </row>
    <row r="4" spans="1:15" s="99" customFormat="1" x14ac:dyDescent="0.15">
      <c r="A4" s="2"/>
      <c r="B4" s="9" t="s">
        <v>252</v>
      </c>
      <c r="C4" s="9"/>
      <c r="D4" s="2"/>
      <c r="E4" s="2"/>
      <c r="F4" s="2"/>
      <c r="G4" s="16"/>
      <c r="H4" s="27">
        <v>0</v>
      </c>
      <c r="I4" s="6"/>
      <c r="J4" s="2"/>
      <c r="K4" s="20"/>
      <c r="L4" s="20"/>
      <c r="M4" s="29"/>
      <c r="N4" s="2"/>
    </row>
    <row r="5" spans="1:15" s="99" customFormat="1" x14ac:dyDescent="0.15">
      <c r="A5" s="2"/>
      <c r="B5" s="9" t="s">
        <v>253</v>
      </c>
      <c r="C5" s="9"/>
      <c r="D5" s="2"/>
      <c r="E5" s="2"/>
      <c r="F5" s="2"/>
      <c r="G5" s="16"/>
      <c r="H5" s="27">
        <v>0</v>
      </c>
      <c r="I5" s="6"/>
      <c r="J5" s="2"/>
      <c r="K5" s="20"/>
      <c r="L5" s="20"/>
      <c r="M5" s="29"/>
      <c r="N5" s="2"/>
    </row>
    <row r="6" spans="1:15" s="99" customFormat="1" x14ac:dyDescent="0.15">
      <c r="A6" s="2"/>
      <c r="B6" s="9" t="s">
        <v>254</v>
      </c>
      <c r="C6" s="9"/>
      <c r="D6" s="2"/>
      <c r="E6" s="2"/>
      <c r="F6" s="2"/>
      <c r="G6" s="16">
        <v>3000</v>
      </c>
      <c r="H6" s="27">
        <v>0</v>
      </c>
      <c r="I6" s="6"/>
      <c r="J6" s="2">
        <f>G6*H6</f>
        <v>0</v>
      </c>
      <c r="K6" s="20">
        <f>J6*$N$2</f>
        <v>0</v>
      </c>
      <c r="L6" s="20"/>
      <c r="M6" s="29"/>
      <c r="N6" s="2"/>
    </row>
    <row r="7" spans="1:15" x14ac:dyDescent="0.15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>
        <v>115</v>
      </c>
      <c r="G7" s="16">
        <f>(2310+0)/10/700*F7</f>
        <v>37.950000000000003</v>
      </c>
      <c r="H7" s="27">
        <v>2</v>
      </c>
      <c r="I7" s="6"/>
      <c r="J7" s="10">
        <f>G7*(H7+I7)</f>
        <v>75.900000000000006</v>
      </c>
      <c r="K7" s="20">
        <f>J7/$N$2</f>
        <v>0.63781512605042023</v>
      </c>
      <c r="L7" s="20">
        <v>11</v>
      </c>
      <c r="M7" s="27">
        <f>O2*5/60*2</f>
        <v>333.33333333333331</v>
      </c>
      <c r="N7" s="2"/>
    </row>
    <row r="8" spans="1:15" x14ac:dyDescent="0.15">
      <c r="A8" s="2" t="s">
        <v>14</v>
      </c>
      <c r="B8" s="2"/>
      <c r="C8" s="2"/>
      <c r="D8" s="2" t="s">
        <v>15</v>
      </c>
      <c r="E8" s="2" t="s">
        <v>13</v>
      </c>
      <c r="F8" s="2">
        <v>94</v>
      </c>
      <c r="G8" s="16">
        <f>(2310+0)/10/700*F8</f>
        <v>31.020000000000003</v>
      </c>
      <c r="H8" s="27">
        <v>2</v>
      </c>
      <c r="I8" s="6"/>
      <c r="J8" s="10">
        <f>G8*(H8+I8)</f>
        <v>62.040000000000006</v>
      </c>
      <c r="K8" s="20">
        <f t="shared" ref="K8:K73" si="0">J8/$N$2</f>
        <v>0.52134453781512613</v>
      </c>
      <c r="L8" s="20">
        <v>11</v>
      </c>
      <c r="M8" s="27">
        <f>O2*5/60*2</f>
        <v>333.33333333333331</v>
      </c>
      <c r="N8" s="2"/>
    </row>
    <row r="9" spans="1:15" x14ac:dyDescent="0.15">
      <c r="A9" s="2" t="s">
        <v>16</v>
      </c>
      <c r="B9" s="2"/>
      <c r="C9" s="2"/>
      <c r="D9" s="2" t="s">
        <v>17</v>
      </c>
      <c r="E9" s="2" t="s">
        <v>268</v>
      </c>
      <c r="F9" s="2">
        <v>73</v>
      </c>
      <c r="G9" s="101">
        <f>280/700*F9</f>
        <v>29.200000000000003</v>
      </c>
      <c r="H9" s="27">
        <v>2</v>
      </c>
      <c r="I9" s="6"/>
      <c r="J9" s="10">
        <f t="shared" ref="J9:J33" si="1">G9*(H9+I9)</f>
        <v>58.400000000000006</v>
      </c>
      <c r="K9" s="20">
        <f t="shared" si="0"/>
        <v>0.49075630252100844</v>
      </c>
      <c r="L9" s="20">
        <v>11</v>
      </c>
      <c r="M9" s="27">
        <f>O2*5/60*2</f>
        <v>333.33333333333331</v>
      </c>
      <c r="N9" s="2"/>
    </row>
    <row r="10" spans="1:15" s="106" customFormat="1" x14ac:dyDescent="0.15">
      <c r="A10" s="100" t="s">
        <v>258</v>
      </c>
      <c r="B10" s="100"/>
      <c r="C10" s="100"/>
      <c r="D10" s="100" t="s">
        <v>259</v>
      </c>
      <c r="E10" s="100" t="s">
        <v>260</v>
      </c>
      <c r="F10" s="100">
        <v>83</v>
      </c>
      <c r="G10" s="101">
        <f>280/700*F10</f>
        <v>33.200000000000003</v>
      </c>
      <c r="H10" s="102">
        <v>2</v>
      </c>
      <c r="I10" s="102"/>
      <c r="J10" s="103">
        <f t="shared" si="1"/>
        <v>66.400000000000006</v>
      </c>
      <c r="K10" s="104">
        <f t="shared" si="0"/>
        <v>0.55798319327731094</v>
      </c>
      <c r="L10" s="104">
        <v>11</v>
      </c>
      <c r="M10" s="105">
        <f>O2*5/60*2</f>
        <v>333.33333333333331</v>
      </c>
      <c r="N10" s="100"/>
    </row>
    <row r="11" spans="1:15" x14ac:dyDescent="0.15">
      <c r="A11" s="2" t="s">
        <v>18</v>
      </c>
      <c r="B11" s="2"/>
      <c r="C11" s="2" t="s">
        <v>19</v>
      </c>
      <c r="D11" s="2" t="s">
        <v>20</v>
      </c>
      <c r="E11" s="2" t="s">
        <v>13</v>
      </c>
      <c r="F11" s="2">
        <v>84</v>
      </c>
      <c r="G11" s="16">
        <f>(2310+0)/10/700*F11</f>
        <v>27.720000000000002</v>
      </c>
      <c r="H11" s="27">
        <v>2</v>
      </c>
      <c r="I11" s="6"/>
      <c r="J11" s="10">
        <f t="shared" si="1"/>
        <v>55.440000000000005</v>
      </c>
      <c r="K11" s="20">
        <f t="shared" si="0"/>
        <v>0.46588235294117653</v>
      </c>
      <c r="L11" s="20">
        <v>11</v>
      </c>
      <c r="M11" s="27">
        <f>O2*5/60*2</f>
        <v>333.33333333333331</v>
      </c>
      <c r="N11" s="2"/>
    </row>
    <row r="12" spans="1:15" x14ac:dyDescent="0.15">
      <c r="A12" s="2" t="s">
        <v>265</v>
      </c>
      <c r="B12" s="2"/>
      <c r="C12" s="2"/>
      <c r="D12" s="2" t="s">
        <v>21</v>
      </c>
      <c r="E12" s="2" t="s">
        <v>13</v>
      </c>
      <c r="F12" s="2">
        <v>111</v>
      </c>
      <c r="G12" s="16">
        <f>(2310+0)/10/700*F12</f>
        <v>36.630000000000003</v>
      </c>
      <c r="H12" s="27">
        <v>2</v>
      </c>
      <c r="I12" s="6"/>
      <c r="J12" s="10">
        <f t="shared" si="1"/>
        <v>73.260000000000005</v>
      </c>
      <c r="K12" s="20">
        <f t="shared" si="0"/>
        <v>0.61563025210084033</v>
      </c>
      <c r="L12" s="20">
        <v>11</v>
      </c>
      <c r="M12" s="27">
        <f>O2*5/60*2</f>
        <v>333.33333333333331</v>
      </c>
      <c r="N12" s="2"/>
    </row>
    <row r="13" spans="1:15" s="106" customFormat="1" x14ac:dyDescent="0.15">
      <c r="A13" s="100" t="s">
        <v>261</v>
      </c>
      <c r="B13" s="100"/>
      <c r="C13" s="100"/>
      <c r="D13" s="100" t="s">
        <v>262</v>
      </c>
      <c r="E13" s="100" t="s">
        <v>263</v>
      </c>
      <c r="F13" s="100">
        <v>71</v>
      </c>
      <c r="G13" s="101">
        <f>2310/10/700*F13</f>
        <v>23.43</v>
      </c>
      <c r="H13" s="102">
        <v>2</v>
      </c>
      <c r="I13" s="102"/>
      <c r="J13" s="103">
        <f t="shared" si="1"/>
        <v>46.86</v>
      </c>
      <c r="K13" s="104">
        <f t="shared" si="0"/>
        <v>0.39378151260504202</v>
      </c>
      <c r="L13" s="104">
        <v>11</v>
      </c>
      <c r="M13" s="105">
        <f>O2*5/60*2</f>
        <v>333.33333333333331</v>
      </c>
      <c r="N13" s="100"/>
    </row>
    <row r="14" spans="1:15" s="106" customFormat="1" x14ac:dyDescent="0.15">
      <c r="A14" s="100" t="s">
        <v>264</v>
      </c>
      <c r="B14" s="100"/>
      <c r="C14" s="100"/>
      <c r="D14" s="100" t="s">
        <v>262</v>
      </c>
      <c r="E14" s="100" t="s">
        <v>263</v>
      </c>
      <c r="F14" s="100">
        <v>49</v>
      </c>
      <c r="G14" s="101">
        <f>2310/10/700*F14</f>
        <v>16.170000000000002</v>
      </c>
      <c r="H14" s="102">
        <v>2</v>
      </c>
      <c r="I14" s="102"/>
      <c r="J14" s="103">
        <f t="shared" si="1"/>
        <v>32.340000000000003</v>
      </c>
      <c r="K14" s="104">
        <f t="shared" si="0"/>
        <v>0.27176470588235296</v>
      </c>
      <c r="L14" s="104">
        <v>11</v>
      </c>
      <c r="M14" s="105">
        <f>O2*5/60*2</f>
        <v>333.33333333333331</v>
      </c>
      <c r="N14" s="100"/>
    </row>
    <row r="15" spans="1:15" x14ac:dyDescent="0.15">
      <c r="A15" s="2" t="s">
        <v>22</v>
      </c>
      <c r="B15" s="2"/>
      <c r="C15" s="2" t="s">
        <v>23</v>
      </c>
      <c r="D15" s="2" t="s">
        <v>24</v>
      </c>
      <c r="E15" s="2" t="s">
        <v>25</v>
      </c>
      <c r="F15" s="2">
        <v>160</v>
      </c>
      <c r="G15" s="17">
        <f>3305/5/700*F15</f>
        <v>151.08571428571429</v>
      </c>
      <c r="H15" s="27">
        <v>2</v>
      </c>
      <c r="I15" s="6"/>
      <c r="J15" s="10">
        <f t="shared" si="1"/>
        <v>302.17142857142858</v>
      </c>
      <c r="K15" s="20">
        <f t="shared" si="0"/>
        <v>2.5392557022809124</v>
      </c>
      <c r="L15" s="20">
        <v>11</v>
      </c>
      <c r="M15" s="27">
        <f>O2*5/60*2</f>
        <v>333.33333333333331</v>
      </c>
      <c r="N15" s="2"/>
    </row>
    <row r="16" spans="1:15" x14ac:dyDescent="0.15">
      <c r="A16" s="2" t="s">
        <v>26</v>
      </c>
      <c r="B16" s="2"/>
      <c r="C16" s="2"/>
      <c r="D16" s="2" t="s">
        <v>27</v>
      </c>
      <c r="E16" s="2" t="s">
        <v>28</v>
      </c>
      <c r="F16" s="2">
        <v>290</v>
      </c>
      <c r="G16" s="16">
        <f>1740/5/700*F16</f>
        <v>144.17142857142858</v>
      </c>
      <c r="H16" s="27">
        <v>2</v>
      </c>
      <c r="I16" s="6"/>
      <c r="J16" s="10">
        <f t="shared" si="1"/>
        <v>288.34285714285716</v>
      </c>
      <c r="K16" s="20">
        <f t="shared" si="0"/>
        <v>2.4230492196878752</v>
      </c>
      <c r="L16" s="20">
        <v>11</v>
      </c>
      <c r="M16" s="27">
        <f>O2*5/60*2</f>
        <v>333.33333333333331</v>
      </c>
      <c r="N16" s="2"/>
    </row>
    <row r="17" spans="1:14" x14ac:dyDescent="0.15">
      <c r="A17" s="2" t="s">
        <v>29</v>
      </c>
      <c r="B17" s="2"/>
      <c r="C17" s="2"/>
      <c r="D17" s="2" t="s">
        <v>30</v>
      </c>
      <c r="E17" s="2" t="s">
        <v>31</v>
      </c>
      <c r="F17" s="2">
        <v>205</v>
      </c>
      <c r="G17" s="16">
        <f>341/700*F17</f>
        <v>99.864285714285714</v>
      </c>
      <c r="H17" s="27">
        <v>2</v>
      </c>
      <c r="I17" s="6"/>
      <c r="J17" s="10">
        <f t="shared" si="1"/>
        <v>199.72857142857143</v>
      </c>
      <c r="K17" s="20">
        <f t="shared" si="0"/>
        <v>1.678391356542617</v>
      </c>
      <c r="L17" s="20">
        <v>11</v>
      </c>
      <c r="M17" s="27">
        <f>O2*5/60*2</f>
        <v>333.33333333333331</v>
      </c>
      <c r="N17" s="2"/>
    </row>
    <row r="18" spans="1:14" x14ac:dyDescent="0.15">
      <c r="A18" s="2" t="s">
        <v>32</v>
      </c>
      <c r="B18" s="2"/>
      <c r="C18" s="2"/>
      <c r="D18" s="2" t="s">
        <v>33</v>
      </c>
      <c r="E18" s="2" t="s">
        <v>13</v>
      </c>
      <c r="F18" s="55">
        <v>200</v>
      </c>
      <c r="G18" s="16">
        <f>(2310+0)/10/700*F18</f>
        <v>66</v>
      </c>
      <c r="H18" s="27">
        <v>2</v>
      </c>
      <c r="I18" s="6"/>
      <c r="J18" s="10">
        <f t="shared" si="1"/>
        <v>132</v>
      </c>
      <c r="K18" s="20">
        <f t="shared" si="0"/>
        <v>1.1092436974789917</v>
      </c>
      <c r="L18" s="20">
        <v>11</v>
      </c>
      <c r="M18" s="27">
        <f>O2*5/60*2</f>
        <v>333.33333333333331</v>
      </c>
      <c r="N18" s="2"/>
    </row>
    <row r="19" spans="1:14" x14ac:dyDescent="0.15">
      <c r="A19" s="2" t="s">
        <v>34</v>
      </c>
      <c r="B19" s="2"/>
      <c r="C19" s="2"/>
      <c r="D19" s="2" t="s">
        <v>15</v>
      </c>
      <c r="E19" s="2" t="s">
        <v>13</v>
      </c>
      <c r="F19" s="2">
        <v>165</v>
      </c>
      <c r="G19" s="16">
        <f>(2310+0)/10/700*F19</f>
        <v>54.45</v>
      </c>
      <c r="H19" s="27">
        <v>2</v>
      </c>
      <c r="I19" s="6"/>
      <c r="J19" s="10">
        <f t="shared" si="1"/>
        <v>108.9</v>
      </c>
      <c r="K19" s="20">
        <f t="shared" si="0"/>
        <v>0.91512605042016815</v>
      </c>
      <c r="L19" s="20">
        <v>11</v>
      </c>
      <c r="M19" s="27">
        <f>O2*5/60*2</f>
        <v>333.33333333333331</v>
      </c>
      <c r="N19" s="2"/>
    </row>
    <row r="20" spans="1:14" ht="27" x14ac:dyDescent="0.15">
      <c r="A20" s="2" t="s">
        <v>266</v>
      </c>
      <c r="B20" s="2"/>
      <c r="C20" s="2" t="s">
        <v>35</v>
      </c>
      <c r="D20" s="2" t="s">
        <v>224</v>
      </c>
      <c r="E20" s="2" t="s">
        <v>36</v>
      </c>
      <c r="F20" s="24">
        <v>220</v>
      </c>
      <c r="G20" s="16">
        <f>280/700*F20</f>
        <v>88</v>
      </c>
      <c r="H20" s="27">
        <v>2</v>
      </c>
      <c r="I20" s="6"/>
      <c r="J20" s="10">
        <f t="shared" si="1"/>
        <v>176</v>
      </c>
      <c r="K20" s="20">
        <f t="shared" si="0"/>
        <v>1.4789915966386555</v>
      </c>
      <c r="L20" s="20">
        <v>11</v>
      </c>
      <c r="M20" s="27">
        <f>O2*5/60*2</f>
        <v>333.33333333333331</v>
      </c>
      <c r="N20" s="2"/>
    </row>
    <row r="21" spans="1:14" x14ac:dyDescent="0.15">
      <c r="A21" s="2" t="s">
        <v>267</v>
      </c>
      <c r="B21" s="2"/>
      <c r="C21" s="2"/>
      <c r="D21" s="2" t="s">
        <v>225</v>
      </c>
      <c r="E21" s="2" t="s">
        <v>226</v>
      </c>
      <c r="F21" s="24">
        <v>205</v>
      </c>
      <c r="G21" s="16">
        <f>(2310+0)/10/700*F21</f>
        <v>67.650000000000006</v>
      </c>
      <c r="H21" s="27">
        <v>2</v>
      </c>
      <c r="I21" s="6"/>
      <c r="J21" s="10">
        <f t="shared" si="1"/>
        <v>135.30000000000001</v>
      </c>
      <c r="K21" s="20">
        <f t="shared" si="0"/>
        <v>1.1369747899159666</v>
      </c>
      <c r="L21" s="20">
        <v>11</v>
      </c>
      <c r="M21" s="27">
        <f>O2*5/60*2</f>
        <v>333.33333333333331</v>
      </c>
      <c r="N21" s="2"/>
    </row>
    <row r="22" spans="1:14" ht="27" x14ac:dyDescent="0.15">
      <c r="A22" s="2" t="s">
        <v>37</v>
      </c>
      <c r="B22" s="2" t="s">
        <v>38</v>
      </c>
      <c r="C22" s="2" t="s">
        <v>39</v>
      </c>
      <c r="D22" s="2" t="s">
        <v>40</v>
      </c>
      <c r="E22" s="2" t="s">
        <v>41</v>
      </c>
      <c r="F22" s="2" t="s">
        <v>42</v>
      </c>
      <c r="G22" s="16">
        <f>45*(25+5)/300</f>
        <v>4.5</v>
      </c>
      <c r="H22" s="27">
        <v>2</v>
      </c>
      <c r="I22" s="6"/>
      <c r="J22" s="10">
        <f t="shared" si="1"/>
        <v>9</v>
      </c>
      <c r="K22" s="20">
        <f t="shared" si="0"/>
        <v>7.5630252100840331E-2</v>
      </c>
      <c r="L22" s="20">
        <v>30</v>
      </c>
      <c r="M22" s="27">
        <f>O2*5/60*2</f>
        <v>333.33333333333331</v>
      </c>
      <c r="N22" s="2"/>
    </row>
    <row r="23" spans="1:14" ht="27" x14ac:dyDescent="0.15">
      <c r="A23" s="2" t="s">
        <v>43</v>
      </c>
      <c r="B23" s="2"/>
      <c r="C23" s="2"/>
      <c r="D23" s="2" t="s">
        <v>44</v>
      </c>
      <c r="E23" s="2" t="s">
        <v>41</v>
      </c>
      <c r="F23" s="2" t="s">
        <v>45</v>
      </c>
      <c r="G23" s="16">
        <f>45*(20+5)/300</f>
        <v>3.75</v>
      </c>
      <c r="H23" s="27">
        <v>2</v>
      </c>
      <c r="I23" s="6"/>
      <c r="J23" s="10">
        <f t="shared" si="1"/>
        <v>7.5</v>
      </c>
      <c r="K23" s="20">
        <f t="shared" si="0"/>
        <v>6.3025210084033612E-2</v>
      </c>
      <c r="L23" s="20">
        <v>30</v>
      </c>
      <c r="M23" s="27">
        <f>O2*5/60*2</f>
        <v>333.33333333333331</v>
      </c>
      <c r="N23" s="2"/>
    </row>
    <row r="24" spans="1:14" ht="27" x14ac:dyDescent="0.15">
      <c r="A24" s="2" t="s">
        <v>46</v>
      </c>
      <c r="B24" s="2"/>
      <c r="C24" s="2"/>
      <c r="D24" s="2" t="s">
        <v>47</v>
      </c>
      <c r="E24" s="2" t="s">
        <v>13</v>
      </c>
      <c r="F24" s="2" t="s">
        <v>45</v>
      </c>
      <c r="G24" s="16">
        <f>45*(20+5)/300</f>
        <v>3.75</v>
      </c>
      <c r="H24" s="27">
        <v>2</v>
      </c>
      <c r="I24" s="6"/>
      <c r="J24" s="10">
        <f t="shared" si="1"/>
        <v>7.5</v>
      </c>
      <c r="K24" s="20">
        <f t="shared" si="0"/>
        <v>6.3025210084033612E-2</v>
      </c>
      <c r="L24" s="20">
        <v>30</v>
      </c>
      <c r="M24" s="27">
        <f>O2*3/60*2</f>
        <v>200</v>
      </c>
      <c r="N24" s="2"/>
    </row>
    <row r="25" spans="1:14" ht="27" x14ac:dyDescent="0.15">
      <c r="A25" s="2" t="s">
        <v>48</v>
      </c>
      <c r="B25" s="2"/>
      <c r="D25" s="2" t="s">
        <v>49</v>
      </c>
      <c r="E25" s="2" t="s">
        <v>50</v>
      </c>
      <c r="F25" s="2" t="s">
        <v>257</v>
      </c>
      <c r="G25" s="16">
        <f>45*(85+30)/300</f>
        <v>17.25</v>
      </c>
      <c r="H25" s="27">
        <v>2</v>
      </c>
      <c r="I25" s="6"/>
      <c r="J25" s="10">
        <f t="shared" si="1"/>
        <v>34.5</v>
      </c>
      <c r="K25" s="20">
        <f t="shared" si="0"/>
        <v>0.28991596638655465</v>
      </c>
      <c r="L25" s="20">
        <v>30</v>
      </c>
      <c r="M25" s="27">
        <f>O2*3/60*2</f>
        <v>200</v>
      </c>
      <c r="N25" s="2"/>
    </row>
    <row r="26" spans="1:14" ht="40.5" x14ac:dyDescent="0.15">
      <c r="A26" s="2" t="s">
        <v>51</v>
      </c>
      <c r="B26" s="2" t="s">
        <v>52</v>
      </c>
      <c r="C26" s="2" t="s">
        <v>38</v>
      </c>
      <c r="D26" s="2" t="s">
        <v>38</v>
      </c>
      <c r="E26" s="2" t="s">
        <v>50</v>
      </c>
      <c r="F26" s="2" t="s">
        <v>53</v>
      </c>
      <c r="G26" s="16">
        <f>45*(162+40)/300</f>
        <v>30.3</v>
      </c>
      <c r="H26" s="27">
        <v>2</v>
      </c>
      <c r="I26" s="6"/>
      <c r="J26" s="10">
        <f t="shared" si="1"/>
        <v>60.6</v>
      </c>
      <c r="K26" s="20">
        <f t="shared" si="0"/>
        <v>0.50924369747899156</v>
      </c>
      <c r="L26" s="20">
        <v>30</v>
      </c>
      <c r="M26" s="27">
        <f>O2*4.5/60*2</f>
        <v>300</v>
      </c>
      <c r="N26" s="5"/>
    </row>
    <row r="27" spans="1:14" x14ac:dyDescent="0.15">
      <c r="A27" s="2" t="s">
        <v>54</v>
      </c>
      <c r="B27" s="2"/>
      <c r="C27" s="2" t="s">
        <v>10</v>
      </c>
      <c r="D27" s="2" t="s">
        <v>10</v>
      </c>
      <c r="E27" s="2" t="s">
        <v>256</v>
      </c>
      <c r="F27" s="2">
        <v>120</v>
      </c>
      <c r="G27" s="16">
        <f>110/700*220</f>
        <v>34.571428571428569</v>
      </c>
      <c r="H27" s="27">
        <v>2</v>
      </c>
      <c r="I27" s="6"/>
      <c r="J27" s="10">
        <f t="shared" si="1"/>
        <v>69.142857142857139</v>
      </c>
      <c r="K27" s="20">
        <f>J27/$N$2</f>
        <v>0.58103241296518604</v>
      </c>
      <c r="L27" s="20">
        <v>11</v>
      </c>
      <c r="M27" s="27">
        <f>O2*4.5/60*2</f>
        <v>300</v>
      </c>
      <c r="N27" s="2"/>
    </row>
    <row r="28" spans="1:14" x14ac:dyDescent="0.15">
      <c r="A28" s="2" t="s">
        <v>55</v>
      </c>
      <c r="B28" s="2"/>
      <c r="C28" s="2" t="s">
        <v>56</v>
      </c>
      <c r="D28" s="2" t="s">
        <v>56</v>
      </c>
      <c r="E28" s="2" t="s">
        <v>13</v>
      </c>
      <c r="F28" s="2"/>
      <c r="G28" s="16">
        <v>90</v>
      </c>
      <c r="H28" s="27">
        <v>4</v>
      </c>
      <c r="I28" s="6"/>
      <c r="J28" s="10">
        <f t="shared" si="1"/>
        <v>360</v>
      </c>
      <c r="K28" s="20">
        <f t="shared" si="0"/>
        <v>3.0252100840336134</v>
      </c>
      <c r="L28" s="20">
        <v>45</v>
      </c>
      <c r="M28" s="27"/>
      <c r="N28" s="2"/>
    </row>
    <row r="29" spans="1:14" ht="27" x14ac:dyDescent="0.15">
      <c r="A29" s="2" t="s">
        <v>57</v>
      </c>
      <c r="B29" s="2"/>
      <c r="C29" s="2" t="s">
        <v>19</v>
      </c>
      <c r="D29" s="2" t="s">
        <v>58</v>
      </c>
      <c r="E29" s="2" t="s">
        <v>13</v>
      </c>
      <c r="F29" s="2"/>
      <c r="G29" s="16">
        <v>90</v>
      </c>
      <c r="H29" s="27">
        <v>2</v>
      </c>
      <c r="I29" s="6"/>
      <c r="J29" s="10">
        <f t="shared" si="1"/>
        <v>180</v>
      </c>
      <c r="K29" s="20">
        <f t="shared" si="0"/>
        <v>1.5126050420168067</v>
      </c>
      <c r="L29" s="20">
        <v>45</v>
      </c>
      <c r="M29" s="27"/>
      <c r="N29" s="2"/>
    </row>
    <row r="30" spans="1:14" ht="27" x14ac:dyDescent="0.15">
      <c r="A30" s="2" t="s">
        <v>59</v>
      </c>
      <c r="B30" s="2" t="s">
        <v>56</v>
      </c>
      <c r="C30" s="2" t="s">
        <v>23</v>
      </c>
      <c r="D30" s="2" t="s">
        <v>60</v>
      </c>
      <c r="E30" s="2" t="s">
        <v>61</v>
      </c>
      <c r="F30" s="2"/>
      <c r="G30" s="16">
        <v>90</v>
      </c>
      <c r="H30" s="27">
        <v>2</v>
      </c>
      <c r="I30" s="6"/>
      <c r="J30" s="10">
        <f t="shared" si="1"/>
        <v>180</v>
      </c>
      <c r="K30" s="20">
        <f t="shared" si="0"/>
        <v>1.5126050420168067</v>
      </c>
      <c r="L30" s="20">
        <v>45</v>
      </c>
      <c r="M30" s="27"/>
      <c r="N30" s="2"/>
    </row>
    <row r="31" spans="1:14" ht="27" x14ac:dyDescent="0.15">
      <c r="A31" s="2" t="s">
        <v>62</v>
      </c>
      <c r="B31" s="2"/>
      <c r="C31" s="2"/>
      <c r="D31" s="2" t="s">
        <v>63</v>
      </c>
      <c r="E31" s="2" t="s">
        <v>61</v>
      </c>
      <c r="F31" s="2"/>
      <c r="G31" s="16">
        <v>90</v>
      </c>
      <c r="H31" s="27">
        <v>2</v>
      </c>
      <c r="I31" s="6"/>
      <c r="J31" s="10">
        <f t="shared" si="1"/>
        <v>180</v>
      </c>
      <c r="K31" s="20">
        <f t="shared" si="0"/>
        <v>1.5126050420168067</v>
      </c>
      <c r="L31" s="20">
        <v>45</v>
      </c>
      <c r="M31" s="27"/>
      <c r="N31" s="2"/>
    </row>
    <row r="32" spans="1:14" x14ac:dyDescent="0.15">
      <c r="A32" s="2" t="s">
        <v>64</v>
      </c>
      <c r="B32" s="2"/>
      <c r="C32" s="2"/>
      <c r="D32" s="2" t="s">
        <v>65</v>
      </c>
      <c r="E32" s="2" t="s">
        <v>13</v>
      </c>
      <c r="F32" s="2"/>
      <c r="G32" s="16">
        <v>90</v>
      </c>
      <c r="H32" s="27">
        <v>2</v>
      </c>
      <c r="I32" s="6"/>
      <c r="J32" s="10">
        <f t="shared" si="1"/>
        <v>180</v>
      </c>
      <c r="K32" s="20">
        <f t="shared" si="0"/>
        <v>1.5126050420168067</v>
      </c>
      <c r="L32" s="20">
        <v>45</v>
      </c>
      <c r="M32" s="27"/>
      <c r="N32" s="2"/>
    </row>
    <row r="33" spans="1:15" ht="81" x14ac:dyDescent="0.15">
      <c r="A33" s="2" t="s">
        <v>66</v>
      </c>
      <c r="B33" s="2" t="s">
        <v>67</v>
      </c>
      <c r="C33" s="2"/>
      <c r="D33" s="2" t="s">
        <v>68</v>
      </c>
      <c r="E33" s="2" t="s">
        <v>69</v>
      </c>
      <c r="F33" s="3" t="s">
        <v>70</v>
      </c>
      <c r="G33" s="16">
        <f>609/1000*30</f>
        <v>18.27</v>
      </c>
      <c r="H33" s="27">
        <v>2</v>
      </c>
      <c r="I33" s="6"/>
      <c r="J33" s="10">
        <f t="shared" si="1"/>
        <v>36.54</v>
      </c>
      <c r="K33" s="20">
        <f t="shared" si="0"/>
        <v>0.30705882352941177</v>
      </c>
      <c r="L33" s="20">
        <v>40</v>
      </c>
      <c r="M33" s="27">
        <f>O2*20/60*2</f>
        <v>1333.3333333333333</v>
      </c>
      <c r="N33" s="5" t="s">
        <v>71</v>
      </c>
      <c r="O33" s="1" t="s">
        <v>72</v>
      </c>
    </row>
    <row r="34" spans="1:15" s="117" customFormat="1" ht="27" x14ac:dyDescent="0.15">
      <c r="A34" s="110" t="s">
        <v>73</v>
      </c>
      <c r="B34" s="110" t="s">
        <v>74</v>
      </c>
      <c r="C34" s="110"/>
      <c r="D34" s="110" t="s">
        <v>75</v>
      </c>
      <c r="E34" s="110" t="s">
        <v>76</v>
      </c>
      <c r="F34" s="110" t="s">
        <v>77</v>
      </c>
      <c r="G34" s="111">
        <f>598/300*3.7</f>
        <v>7.3753333333333337</v>
      </c>
      <c r="H34" s="112">
        <v>0</v>
      </c>
      <c r="I34" s="113"/>
      <c r="J34" s="114">
        <f t="shared" ref="J34:J70" si="2">G34*(H34+I34)</f>
        <v>0</v>
      </c>
      <c r="K34" s="115">
        <f t="shared" si="0"/>
        <v>0</v>
      </c>
      <c r="L34" s="115">
        <f>30*0</f>
        <v>0</v>
      </c>
      <c r="M34" s="112">
        <f>O2*5/60*2*0</f>
        <v>0</v>
      </c>
      <c r="N34" s="110"/>
    </row>
    <row r="35" spans="1:15" ht="81" x14ac:dyDescent="0.15">
      <c r="A35" s="2" t="s">
        <v>78</v>
      </c>
      <c r="B35" s="2" t="s">
        <v>79</v>
      </c>
      <c r="C35" s="2"/>
      <c r="D35" s="2" t="s">
        <v>80</v>
      </c>
      <c r="E35" s="2" t="s">
        <v>81</v>
      </c>
      <c r="F35" s="3" t="s">
        <v>203</v>
      </c>
      <c r="G35" s="16">
        <f>16/12*98</f>
        <v>130.66666666666666</v>
      </c>
      <c r="H35" s="27">
        <v>4</v>
      </c>
      <c r="I35" s="6">
        <v>2</v>
      </c>
      <c r="J35" s="10">
        <f t="shared" si="2"/>
        <v>784</v>
      </c>
      <c r="K35" s="20">
        <f t="shared" si="0"/>
        <v>6.5882352941176467</v>
      </c>
      <c r="L35" s="20">
        <v>30</v>
      </c>
      <c r="M35" s="27">
        <f>O2*30/60*2</f>
        <v>2000</v>
      </c>
      <c r="N35" s="5" t="s">
        <v>82</v>
      </c>
    </row>
    <row r="36" spans="1:15" s="41" customFormat="1" ht="40.5" x14ac:dyDescent="0.15">
      <c r="A36" s="24" t="s">
        <v>83</v>
      </c>
      <c r="B36" s="24"/>
      <c r="C36" s="24" t="s">
        <v>84</v>
      </c>
      <c r="D36" s="24"/>
      <c r="E36" s="24" t="s">
        <v>85</v>
      </c>
      <c r="F36" s="24" t="s">
        <v>86</v>
      </c>
      <c r="G36" s="36">
        <v>21</v>
      </c>
      <c r="H36" s="37">
        <v>1</v>
      </c>
      <c r="I36" s="38"/>
      <c r="J36" s="39">
        <f t="shared" si="2"/>
        <v>21</v>
      </c>
      <c r="K36" s="20">
        <f t="shared" si="0"/>
        <v>0.17647058823529413</v>
      </c>
      <c r="L36" s="40"/>
      <c r="M36" s="37"/>
      <c r="N36" s="24"/>
    </row>
    <row r="37" spans="1:15" s="79" customFormat="1" ht="40.5" x14ac:dyDescent="0.15">
      <c r="A37" s="72" t="s">
        <v>87</v>
      </c>
      <c r="B37" s="72"/>
      <c r="C37" s="72" t="s">
        <v>88</v>
      </c>
      <c r="D37" s="72"/>
      <c r="E37" s="72" t="s">
        <v>89</v>
      </c>
      <c r="F37" s="72"/>
      <c r="G37" s="73">
        <f>10+5</f>
        <v>15</v>
      </c>
      <c r="H37" s="74">
        <v>2</v>
      </c>
      <c r="I37" s="75"/>
      <c r="J37" s="76">
        <f t="shared" si="2"/>
        <v>30</v>
      </c>
      <c r="K37" s="20">
        <f t="shared" si="0"/>
        <v>0.25210084033613445</v>
      </c>
      <c r="L37" s="77"/>
      <c r="M37" s="74"/>
      <c r="N37" s="78" t="s">
        <v>90</v>
      </c>
    </row>
    <row r="38" spans="1:15" ht="40.5" x14ac:dyDescent="0.15">
      <c r="A38" s="2" t="s">
        <v>91</v>
      </c>
      <c r="B38" s="2"/>
      <c r="C38" s="2" t="s">
        <v>92</v>
      </c>
      <c r="D38" s="2"/>
      <c r="E38" s="2" t="s">
        <v>93</v>
      </c>
      <c r="F38" s="2"/>
      <c r="G38" s="16">
        <f>11+5</f>
        <v>16</v>
      </c>
      <c r="H38" s="27">
        <v>4</v>
      </c>
      <c r="I38" s="6"/>
      <c r="J38" s="10">
        <f t="shared" si="2"/>
        <v>64</v>
      </c>
      <c r="K38" s="20">
        <f t="shared" si="0"/>
        <v>0.53781512605042014</v>
      </c>
      <c r="L38" s="20"/>
      <c r="M38" s="27"/>
      <c r="N38" s="5" t="s">
        <v>90</v>
      </c>
    </row>
    <row r="39" spans="1:15" ht="81" x14ac:dyDescent="0.15">
      <c r="A39" s="2" t="s">
        <v>94</v>
      </c>
      <c r="B39" s="2" t="s">
        <v>95</v>
      </c>
      <c r="C39" s="2" t="s">
        <v>96</v>
      </c>
      <c r="D39" s="94" t="s">
        <v>237</v>
      </c>
      <c r="E39" s="2" t="s">
        <v>204</v>
      </c>
      <c r="F39" s="3" t="s">
        <v>205</v>
      </c>
      <c r="G39" s="16">
        <f>2.5*98</f>
        <v>245</v>
      </c>
      <c r="H39" s="27">
        <v>2</v>
      </c>
      <c r="I39" s="6"/>
      <c r="J39" s="10">
        <f t="shared" si="2"/>
        <v>490</v>
      </c>
      <c r="K39" s="20">
        <f t="shared" si="0"/>
        <v>4.117647058823529</v>
      </c>
      <c r="L39" s="20">
        <v>20</v>
      </c>
      <c r="M39" s="27">
        <f>O2*30/60*2</f>
        <v>2000</v>
      </c>
      <c r="N39" s="5" t="s">
        <v>227</v>
      </c>
    </row>
    <row r="40" spans="1:15" ht="54" x14ac:dyDescent="0.15">
      <c r="A40" s="2" t="s">
        <v>97</v>
      </c>
      <c r="B40" s="2"/>
      <c r="C40" s="2"/>
      <c r="D40" s="2" t="s">
        <v>239</v>
      </c>
      <c r="E40" s="2"/>
      <c r="F40" s="3" t="s">
        <v>98</v>
      </c>
      <c r="G40" s="16">
        <f>1.25*98</f>
        <v>122.5</v>
      </c>
      <c r="H40" s="27">
        <v>1</v>
      </c>
      <c r="I40" s="6"/>
      <c r="J40" s="10">
        <f t="shared" si="2"/>
        <v>122.5</v>
      </c>
      <c r="K40" s="20">
        <f t="shared" si="0"/>
        <v>1.0294117647058822</v>
      </c>
      <c r="L40" s="20">
        <v>20</v>
      </c>
      <c r="M40" s="27">
        <f>O2*30/60</f>
        <v>1000</v>
      </c>
      <c r="N40" s="5" t="s">
        <v>227</v>
      </c>
    </row>
    <row r="41" spans="1:15" ht="141.75" customHeight="1" x14ac:dyDescent="0.15">
      <c r="A41" s="2" t="s">
        <v>99</v>
      </c>
      <c r="B41" s="2"/>
      <c r="C41" s="2"/>
      <c r="D41" s="2" t="s">
        <v>100</v>
      </c>
      <c r="E41" s="24" t="s">
        <v>101</v>
      </c>
      <c r="F41" s="2"/>
      <c r="G41" s="16">
        <f>160</f>
        <v>160</v>
      </c>
      <c r="H41" s="27">
        <v>2</v>
      </c>
      <c r="I41" s="6"/>
      <c r="J41" s="10">
        <f t="shared" si="2"/>
        <v>320</v>
      </c>
      <c r="K41" s="20">
        <f t="shared" si="0"/>
        <v>2.6890756302521011</v>
      </c>
      <c r="L41" s="20">
        <v>50</v>
      </c>
      <c r="M41" s="27"/>
      <c r="N41" s="2"/>
    </row>
    <row r="42" spans="1:15" s="97" customFormat="1" ht="27" x14ac:dyDescent="0.15">
      <c r="A42" s="2" t="s">
        <v>102</v>
      </c>
      <c r="B42" s="2"/>
      <c r="C42" s="2"/>
      <c r="D42" s="24" t="s">
        <v>244</v>
      </c>
      <c r="E42" s="2"/>
      <c r="F42" s="2" t="s">
        <v>245</v>
      </c>
      <c r="G42" s="98">
        <v>11</v>
      </c>
      <c r="H42" s="6">
        <v>1</v>
      </c>
      <c r="I42" s="6"/>
      <c r="J42" s="10">
        <f>G42*H42</f>
        <v>11</v>
      </c>
      <c r="K42" s="20">
        <f t="shared" si="0"/>
        <v>9.2436974789915971E-2</v>
      </c>
      <c r="L42" s="20"/>
      <c r="M42" s="27"/>
      <c r="N42" s="2"/>
    </row>
    <row r="43" spans="1:15" ht="67.5" x14ac:dyDescent="0.15">
      <c r="A43" s="2" t="s">
        <v>103</v>
      </c>
      <c r="B43" s="2"/>
      <c r="C43" s="2" t="s">
        <v>104</v>
      </c>
      <c r="D43" s="2" t="s">
        <v>105</v>
      </c>
      <c r="E43" s="2"/>
      <c r="F43" s="3" t="s">
        <v>106</v>
      </c>
      <c r="G43" s="16">
        <v>50</v>
      </c>
      <c r="H43" s="27">
        <v>2</v>
      </c>
      <c r="I43" s="6"/>
      <c r="J43" s="10">
        <f t="shared" si="2"/>
        <v>100</v>
      </c>
      <c r="K43" s="20">
        <f t="shared" si="0"/>
        <v>0.84033613445378152</v>
      </c>
      <c r="L43" s="20">
        <v>10</v>
      </c>
      <c r="M43" s="27">
        <f>O2*20/60*2</f>
        <v>1333.3333333333333</v>
      </c>
      <c r="N43" s="2"/>
    </row>
    <row r="44" spans="1:15" s="117" customFormat="1" ht="54" x14ac:dyDescent="0.15">
      <c r="A44" s="110" t="s">
        <v>236</v>
      </c>
      <c r="B44" s="110"/>
      <c r="C44" s="110" t="s">
        <v>107</v>
      </c>
      <c r="D44" s="110" t="s">
        <v>238</v>
      </c>
      <c r="E44" s="110"/>
      <c r="F44" s="110" t="s">
        <v>108</v>
      </c>
      <c r="G44" s="111">
        <f>1.25*98</f>
        <v>122.5</v>
      </c>
      <c r="H44" s="112">
        <v>0</v>
      </c>
      <c r="I44" s="113"/>
      <c r="J44" s="114">
        <f t="shared" si="2"/>
        <v>0</v>
      </c>
      <c r="K44" s="115">
        <f t="shared" si="0"/>
        <v>0</v>
      </c>
      <c r="L44" s="115">
        <f>20*0</f>
        <v>0</v>
      </c>
      <c r="M44" s="112">
        <f>O2*15/60*0</f>
        <v>0</v>
      </c>
      <c r="N44" s="116" t="s">
        <v>227</v>
      </c>
    </row>
    <row r="45" spans="1:15" s="86" customFormat="1" ht="54" x14ac:dyDescent="0.15">
      <c r="A45" s="80" t="s">
        <v>235</v>
      </c>
      <c r="B45" s="80"/>
      <c r="C45" s="80" t="s">
        <v>107</v>
      </c>
      <c r="D45" s="107" t="s">
        <v>232</v>
      </c>
      <c r="E45" s="107" t="s">
        <v>233</v>
      </c>
      <c r="F45" s="3" t="s">
        <v>108</v>
      </c>
      <c r="G45" s="108">
        <v>153</v>
      </c>
      <c r="H45" s="83">
        <v>1</v>
      </c>
      <c r="I45" s="83"/>
      <c r="J45" s="84">
        <f t="shared" si="2"/>
        <v>153</v>
      </c>
      <c r="K45" s="109">
        <f t="shared" si="0"/>
        <v>1.2857142857142858</v>
      </c>
      <c r="L45" s="20">
        <v>20</v>
      </c>
      <c r="M45" s="27">
        <f>O2*15/60*1</f>
        <v>500</v>
      </c>
      <c r="N45" s="85" t="s">
        <v>234</v>
      </c>
    </row>
    <row r="46" spans="1:15" s="96" customFormat="1" ht="27" x14ac:dyDescent="0.15">
      <c r="A46" s="2" t="s">
        <v>240</v>
      </c>
      <c r="B46" s="2"/>
      <c r="C46" s="2"/>
      <c r="D46" s="2" t="s">
        <v>241</v>
      </c>
      <c r="E46" s="2" t="s">
        <v>242</v>
      </c>
      <c r="G46" s="98">
        <f>13*40/300*98</f>
        <v>169.86666666666667</v>
      </c>
      <c r="H46" s="6">
        <v>1</v>
      </c>
      <c r="I46" s="6"/>
      <c r="J46" s="10">
        <f t="shared" si="2"/>
        <v>169.86666666666667</v>
      </c>
      <c r="K46" s="20">
        <f t="shared" si="0"/>
        <v>1.4274509803921569</v>
      </c>
      <c r="L46" s="20">
        <v>50</v>
      </c>
      <c r="M46" s="27">
        <v>300</v>
      </c>
      <c r="N46" s="5" t="s">
        <v>243</v>
      </c>
    </row>
    <row r="47" spans="1:15" ht="121.5" x14ac:dyDescent="0.15">
      <c r="A47" s="2" t="s">
        <v>109</v>
      </c>
      <c r="B47" s="2"/>
      <c r="C47" s="2"/>
      <c r="D47" s="2" t="s">
        <v>110</v>
      </c>
      <c r="E47" s="2" t="s">
        <v>111</v>
      </c>
      <c r="F47" s="2"/>
      <c r="G47" s="16">
        <f>160*2</f>
        <v>320</v>
      </c>
      <c r="H47" s="27">
        <v>2</v>
      </c>
      <c r="I47" s="6"/>
      <c r="J47" s="10">
        <f t="shared" si="2"/>
        <v>640</v>
      </c>
      <c r="K47" s="20">
        <f t="shared" si="0"/>
        <v>5.3781512605042021</v>
      </c>
      <c r="L47" s="20">
        <v>50</v>
      </c>
      <c r="M47" s="27"/>
      <c r="N47" s="2"/>
    </row>
    <row r="48" spans="1:15" ht="40.5" x14ac:dyDescent="0.15">
      <c r="A48" s="2" t="s">
        <v>112</v>
      </c>
      <c r="B48" s="2"/>
      <c r="C48" s="2" t="s">
        <v>113</v>
      </c>
      <c r="D48" s="3" t="s">
        <v>114</v>
      </c>
      <c r="E48" s="2"/>
      <c r="F48" s="2"/>
      <c r="G48" s="16">
        <v>20</v>
      </c>
      <c r="H48" s="27">
        <v>1</v>
      </c>
      <c r="I48" s="6"/>
      <c r="J48" s="10">
        <f t="shared" si="2"/>
        <v>20</v>
      </c>
      <c r="K48" s="20">
        <f t="shared" si="0"/>
        <v>0.16806722689075632</v>
      </c>
      <c r="L48" s="20"/>
      <c r="M48" s="27"/>
      <c r="N48" s="5"/>
    </row>
    <row r="49" spans="1:15" ht="40.5" x14ac:dyDescent="0.15">
      <c r="A49" s="2" t="s">
        <v>115</v>
      </c>
      <c r="B49" s="2"/>
      <c r="C49" s="2" t="s">
        <v>116</v>
      </c>
      <c r="D49" s="95" t="s">
        <v>228</v>
      </c>
      <c r="E49" s="94" t="s">
        <v>229</v>
      </c>
      <c r="F49" s="2"/>
      <c r="G49" s="16">
        <f>1.25*98</f>
        <v>122.5</v>
      </c>
      <c r="H49" s="27">
        <v>1</v>
      </c>
      <c r="I49" s="6"/>
      <c r="J49" s="10">
        <f t="shared" si="2"/>
        <v>122.5</v>
      </c>
      <c r="K49" s="20">
        <f t="shared" si="0"/>
        <v>1.0294117647058822</v>
      </c>
      <c r="L49" s="20">
        <v>20</v>
      </c>
      <c r="M49" s="27">
        <v>200</v>
      </c>
      <c r="N49" s="5" t="s">
        <v>227</v>
      </c>
    </row>
    <row r="50" spans="1:15" ht="40.5" x14ac:dyDescent="0.15">
      <c r="A50" s="2" t="s">
        <v>117</v>
      </c>
      <c r="B50" s="2" t="s">
        <v>118</v>
      </c>
      <c r="C50" s="2" t="s">
        <v>119</v>
      </c>
      <c r="D50" s="2" t="s">
        <v>198</v>
      </c>
      <c r="E50" s="2"/>
      <c r="F50" s="2"/>
      <c r="G50" s="16">
        <f>39*6</f>
        <v>234</v>
      </c>
      <c r="H50" s="27">
        <v>6</v>
      </c>
      <c r="I50" s="6"/>
      <c r="J50" s="10">
        <f t="shared" si="2"/>
        <v>1404</v>
      </c>
      <c r="K50" s="20">
        <f t="shared" si="0"/>
        <v>11.798319327731093</v>
      </c>
      <c r="L50" s="20"/>
      <c r="M50" s="27"/>
      <c r="N50" s="5" t="s">
        <v>120</v>
      </c>
      <c r="O50" s="1" t="s">
        <v>121</v>
      </c>
    </row>
    <row r="51" spans="1:15" ht="67.5" x14ac:dyDescent="0.15">
      <c r="A51" s="2" t="s">
        <v>122</v>
      </c>
      <c r="B51" s="2"/>
      <c r="C51" s="2" t="s">
        <v>123</v>
      </c>
      <c r="D51" s="2" t="s">
        <v>199</v>
      </c>
      <c r="E51" s="2"/>
      <c r="F51" s="2"/>
      <c r="G51" s="16">
        <f>20/5</f>
        <v>4</v>
      </c>
      <c r="H51" s="27">
        <v>3</v>
      </c>
      <c r="I51" s="6">
        <v>1</v>
      </c>
      <c r="J51" s="10">
        <f t="shared" si="2"/>
        <v>16</v>
      </c>
      <c r="K51" s="20">
        <f t="shared" si="0"/>
        <v>0.13445378151260504</v>
      </c>
      <c r="L51" s="20"/>
      <c r="M51" s="27"/>
      <c r="N51" s="8" t="s">
        <v>124</v>
      </c>
    </row>
    <row r="52" spans="1:15" ht="40.5" x14ac:dyDescent="0.15">
      <c r="A52" s="2" t="s">
        <v>125</v>
      </c>
      <c r="B52" s="2" t="s">
        <v>126</v>
      </c>
      <c r="C52" s="2" t="s">
        <v>127</v>
      </c>
      <c r="D52" s="2" t="s">
        <v>128</v>
      </c>
      <c r="E52" s="2"/>
      <c r="F52" s="2"/>
      <c r="G52" s="16">
        <v>15</v>
      </c>
      <c r="H52" s="27">
        <v>1</v>
      </c>
      <c r="I52" s="6">
        <v>1</v>
      </c>
      <c r="J52" s="10">
        <f t="shared" si="2"/>
        <v>30</v>
      </c>
      <c r="K52" s="20">
        <f t="shared" si="0"/>
        <v>0.25210084033613445</v>
      </c>
      <c r="L52" s="20">
        <v>10</v>
      </c>
      <c r="M52" s="27"/>
      <c r="N52" s="5" t="s">
        <v>227</v>
      </c>
    </row>
    <row r="53" spans="1:15" ht="27" x14ac:dyDescent="0.15">
      <c r="A53" s="2"/>
      <c r="B53" s="2" t="s">
        <v>129</v>
      </c>
      <c r="C53" s="2"/>
      <c r="D53" s="2" t="s">
        <v>130</v>
      </c>
      <c r="F53" s="2" t="s">
        <v>131</v>
      </c>
      <c r="G53" s="16">
        <f>4000/300*12</f>
        <v>160</v>
      </c>
      <c r="H53" s="27">
        <v>1</v>
      </c>
      <c r="I53" s="6"/>
      <c r="J53" s="10">
        <f t="shared" si="2"/>
        <v>160</v>
      </c>
      <c r="K53" s="20">
        <f t="shared" si="0"/>
        <v>1.3445378151260505</v>
      </c>
      <c r="L53" s="20">
        <f>500/300*12</f>
        <v>20</v>
      </c>
      <c r="M53" s="27"/>
      <c r="N53" s="2"/>
    </row>
    <row r="54" spans="1:15" ht="27" x14ac:dyDescent="0.15">
      <c r="A54" s="2"/>
      <c r="B54" s="2" t="s">
        <v>129</v>
      </c>
      <c r="C54" s="2"/>
      <c r="D54" s="4" t="s">
        <v>132</v>
      </c>
      <c r="E54" s="2"/>
      <c r="F54" s="2"/>
      <c r="G54" s="16"/>
      <c r="H54" s="27"/>
      <c r="I54" s="6"/>
      <c r="J54" s="10"/>
      <c r="K54" s="20">
        <f t="shared" si="0"/>
        <v>0</v>
      </c>
      <c r="L54" s="20"/>
      <c r="M54" s="27"/>
      <c r="N54" s="2"/>
    </row>
    <row r="55" spans="1:15" ht="54" x14ac:dyDescent="0.15">
      <c r="A55" s="2" t="s">
        <v>133</v>
      </c>
      <c r="B55" s="2" t="s">
        <v>134</v>
      </c>
      <c r="C55" s="2"/>
      <c r="D55" s="2" t="s">
        <v>202</v>
      </c>
      <c r="F55" s="2" t="s">
        <v>135</v>
      </c>
      <c r="G55" s="16">
        <f>1480/100*2</f>
        <v>29.6</v>
      </c>
      <c r="H55" s="27">
        <v>1</v>
      </c>
      <c r="I55" s="6"/>
      <c r="J55" s="10">
        <f t="shared" si="2"/>
        <v>29.6</v>
      </c>
      <c r="K55" s="20">
        <f t="shared" si="0"/>
        <v>0.24873949579831933</v>
      </c>
      <c r="L55" s="20">
        <v>50</v>
      </c>
      <c r="M55" s="27"/>
      <c r="N55" s="8" t="s">
        <v>136</v>
      </c>
    </row>
    <row r="56" spans="1:15" x14ac:dyDescent="0.15">
      <c r="A56" s="2" t="s">
        <v>137</v>
      </c>
      <c r="B56" s="2" t="s">
        <v>134</v>
      </c>
      <c r="C56" s="2"/>
      <c r="D56" s="2" t="s">
        <v>138</v>
      </c>
      <c r="E56" s="2"/>
      <c r="F56" s="2" t="s">
        <v>139</v>
      </c>
      <c r="G56" s="16">
        <v>50</v>
      </c>
      <c r="H56" s="27">
        <v>1</v>
      </c>
      <c r="I56" s="6"/>
      <c r="J56" s="10">
        <f t="shared" si="2"/>
        <v>50</v>
      </c>
      <c r="K56" s="20">
        <f t="shared" si="0"/>
        <v>0.42016806722689076</v>
      </c>
      <c r="L56" s="20"/>
      <c r="M56" s="27">
        <f>O2*10/60*2</f>
        <v>666.66666666666663</v>
      </c>
      <c r="N56" s="2"/>
    </row>
    <row r="57" spans="1:15" ht="27" x14ac:dyDescent="0.15">
      <c r="A57" s="2"/>
      <c r="B57" s="2" t="s">
        <v>140</v>
      </c>
      <c r="C57" s="2"/>
      <c r="D57" s="2" t="s">
        <v>201</v>
      </c>
      <c r="E57" s="2"/>
      <c r="F57" s="2" t="s">
        <v>135</v>
      </c>
      <c r="G57" s="16">
        <f>4460/55*2</f>
        <v>162.18181818181819</v>
      </c>
      <c r="H57" s="27">
        <v>1</v>
      </c>
      <c r="I57" s="6"/>
      <c r="J57" s="10">
        <f t="shared" si="2"/>
        <v>162.18181818181819</v>
      </c>
      <c r="K57" s="20">
        <f t="shared" si="0"/>
        <v>1.3628724216959511</v>
      </c>
      <c r="L57" s="20">
        <f>600/55*2</f>
        <v>21.818181818181817</v>
      </c>
      <c r="N57" s="2"/>
    </row>
    <row r="58" spans="1:15" ht="81" x14ac:dyDescent="0.15">
      <c r="A58" s="2" t="s">
        <v>141</v>
      </c>
      <c r="B58" s="2" t="s">
        <v>142</v>
      </c>
      <c r="C58" s="2"/>
      <c r="D58" s="2" t="s">
        <v>143</v>
      </c>
      <c r="E58" s="2"/>
      <c r="F58" s="3" t="s">
        <v>144</v>
      </c>
      <c r="G58" s="16">
        <f>(1142.73+62.5)*1.058/45.7*104</f>
        <v>2901.8351719912475</v>
      </c>
      <c r="H58" s="27">
        <v>0.5</v>
      </c>
      <c r="I58" s="6"/>
      <c r="J58" s="10">
        <f t="shared" si="2"/>
        <v>1450.9175859956238</v>
      </c>
      <c r="K58" s="20">
        <f t="shared" si="0"/>
        <v>12.192584756265745</v>
      </c>
      <c r="L58" s="20"/>
      <c r="M58" s="27">
        <f>O2*45/60*2</f>
        <v>3000</v>
      </c>
      <c r="N58" s="2" t="s">
        <v>145</v>
      </c>
    </row>
    <row r="59" spans="1:15" x14ac:dyDescent="0.15">
      <c r="A59" s="2"/>
      <c r="B59" s="2"/>
      <c r="C59" s="2"/>
      <c r="D59" s="4" t="s">
        <v>146</v>
      </c>
      <c r="E59" s="2"/>
      <c r="F59" s="2"/>
      <c r="G59" s="16"/>
      <c r="H59" s="27"/>
      <c r="I59" s="6"/>
      <c r="J59" s="10"/>
      <c r="K59" s="20"/>
      <c r="L59" s="20"/>
      <c r="M59" s="27"/>
      <c r="N59" s="2"/>
    </row>
    <row r="60" spans="1:15" s="63" customFormat="1" ht="81" x14ac:dyDescent="0.15">
      <c r="A60" s="56" t="s">
        <v>147</v>
      </c>
      <c r="B60" s="56" t="s">
        <v>148</v>
      </c>
      <c r="C60" s="56" t="s">
        <v>149</v>
      </c>
      <c r="D60" s="56" t="s">
        <v>150</v>
      </c>
      <c r="E60" s="56"/>
      <c r="F60" s="56"/>
      <c r="G60" s="57">
        <f>10*98</f>
        <v>980</v>
      </c>
      <c r="H60" s="64">
        <v>0</v>
      </c>
      <c r="I60" s="59"/>
      <c r="J60" s="60">
        <f t="shared" si="2"/>
        <v>0</v>
      </c>
      <c r="K60" s="20">
        <f t="shared" si="0"/>
        <v>0</v>
      </c>
      <c r="L60" s="61">
        <v>0</v>
      </c>
      <c r="M60" s="58"/>
      <c r="N60" s="62" t="s">
        <v>151</v>
      </c>
    </row>
    <row r="61" spans="1:15" ht="81" x14ac:dyDescent="0.15">
      <c r="A61" s="2" t="s">
        <v>152</v>
      </c>
      <c r="B61" s="2"/>
      <c r="C61" s="2" t="s">
        <v>153</v>
      </c>
      <c r="D61" s="2" t="s">
        <v>154</v>
      </c>
      <c r="E61" s="2" t="s">
        <v>220</v>
      </c>
      <c r="F61" s="2"/>
      <c r="G61" s="16">
        <f>5.8*102+200</f>
        <v>791.6</v>
      </c>
      <c r="H61" s="27">
        <v>1</v>
      </c>
      <c r="I61" s="6"/>
      <c r="J61" s="10">
        <f t="shared" si="2"/>
        <v>791.6</v>
      </c>
      <c r="K61" s="20">
        <f t="shared" si="0"/>
        <v>6.6521008403361348</v>
      </c>
      <c r="L61" s="20">
        <v>200</v>
      </c>
      <c r="M61" s="27">
        <f>500*H61</f>
        <v>500</v>
      </c>
      <c r="N61" s="5" t="s">
        <v>155</v>
      </c>
    </row>
    <row r="62" spans="1:15" s="86" customFormat="1" ht="67.5" x14ac:dyDescent="0.15">
      <c r="A62" s="80" t="s">
        <v>156</v>
      </c>
      <c r="B62" s="80"/>
      <c r="C62" s="80" t="s">
        <v>230</v>
      </c>
      <c r="D62" s="80" t="s">
        <v>217</v>
      </c>
      <c r="E62" s="80" t="s">
        <v>158</v>
      </c>
      <c r="F62" s="80"/>
      <c r="G62" s="81">
        <v>1000</v>
      </c>
      <c r="H62" s="82">
        <v>1</v>
      </c>
      <c r="I62" s="83"/>
      <c r="J62" s="84">
        <f t="shared" si="2"/>
        <v>1000</v>
      </c>
      <c r="K62" s="20">
        <f t="shared" si="0"/>
        <v>8.4033613445378155</v>
      </c>
      <c r="L62" s="20">
        <v>200</v>
      </c>
      <c r="M62" s="82">
        <v>1000</v>
      </c>
      <c r="N62" s="85" t="s">
        <v>159</v>
      </c>
    </row>
    <row r="63" spans="1:15" s="93" customFormat="1" ht="67.5" x14ac:dyDescent="0.15">
      <c r="A63" s="87" t="s">
        <v>216</v>
      </c>
      <c r="B63" s="87"/>
      <c r="C63" s="87" t="s">
        <v>157</v>
      </c>
      <c r="D63" s="87" t="s">
        <v>215</v>
      </c>
      <c r="E63" s="87"/>
      <c r="F63" s="87"/>
      <c r="G63" s="88">
        <v>1020</v>
      </c>
      <c r="H63" s="89">
        <v>0</v>
      </c>
      <c r="I63" s="90"/>
      <c r="J63" s="91">
        <f t="shared" si="2"/>
        <v>0</v>
      </c>
      <c r="K63" s="20">
        <f t="shared" si="0"/>
        <v>0</v>
      </c>
      <c r="L63" s="92"/>
      <c r="M63" s="89">
        <v>0</v>
      </c>
      <c r="N63" s="5" t="s">
        <v>231</v>
      </c>
    </row>
    <row r="64" spans="1:15" s="70" customFormat="1" ht="27" x14ac:dyDescent="0.15">
      <c r="A64" s="3" t="s">
        <v>160</v>
      </c>
      <c r="B64" s="3"/>
      <c r="C64" s="3" t="s">
        <v>161</v>
      </c>
      <c r="D64" s="3" t="s">
        <v>162</v>
      </c>
      <c r="E64" s="3"/>
      <c r="F64" s="3"/>
      <c r="G64" s="66">
        <v>1028</v>
      </c>
      <c r="H64" s="64">
        <v>1</v>
      </c>
      <c r="I64" s="67"/>
      <c r="J64" s="68">
        <f t="shared" si="2"/>
        <v>1028</v>
      </c>
      <c r="K64" s="20">
        <f t="shared" si="0"/>
        <v>8.6386554621848735</v>
      </c>
      <c r="L64" s="69">
        <v>200</v>
      </c>
      <c r="M64" s="64">
        <f>500*H64</f>
        <v>500</v>
      </c>
      <c r="N64" s="3"/>
    </row>
    <row r="65" spans="1:14" s="93" customFormat="1" ht="81" x14ac:dyDescent="0.15">
      <c r="A65" s="87" t="s">
        <v>207</v>
      </c>
      <c r="B65" s="87"/>
      <c r="C65" s="87" t="s">
        <v>163</v>
      </c>
      <c r="D65" s="87" t="s">
        <v>210</v>
      </c>
      <c r="E65" s="87"/>
      <c r="F65" s="87"/>
      <c r="G65" s="88">
        <f>5.4*98</f>
        <v>529.20000000000005</v>
      </c>
      <c r="H65" s="89">
        <v>0</v>
      </c>
      <c r="I65" s="90"/>
      <c r="J65" s="91">
        <f t="shared" si="2"/>
        <v>0</v>
      </c>
      <c r="K65" s="92">
        <f t="shared" si="0"/>
        <v>0</v>
      </c>
      <c r="L65" s="92">
        <v>0</v>
      </c>
      <c r="M65" s="89"/>
      <c r="N65" s="124" t="s">
        <v>164</v>
      </c>
    </row>
    <row r="66" spans="1:14" s="121" customFormat="1" ht="81" x14ac:dyDescent="0.15">
      <c r="A66" s="2" t="s">
        <v>282</v>
      </c>
      <c r="B66" s="2"/>
      <c r="C66" s="2" t="s">
        <v>163</v>
      </c>
      <c r="D66" s="2" t="s">
        <v>280</v>
      </c>
      <c r="E66" s="2"/>
      <c r="F66" s="2"/>
      <c r="G66" s="98">
        <f>6.6*103</f>
        <v>679.8</v>
      </c>
      <c r="H66" s="67">
        <v>2</v>
      </c>
      <c r="I66" s="6"/>
      <c r="J66" s="10">
        <f>G66*(H66+I66)</f>
        <v>1359.6</v>
      </c>
      <c r="K66" s="20">
        <f t="shared" si="0"/>
        <v>11.425210084033612</v>
      </c>
      <c r="L66" s="20">
        <v>200</v>
      </c>
      <c r="M66" s="27"/>
      <c r="N66" s="5" t="s">
        <v>281</v>
      </c>
    </row>
    <row r="67" spans="1:14" s="93" customFormat="1" ht="27" x14ac:dyDescent="0.15">
      <c r="A67" s="87" t="s">
        <v>208</v>
      </c>
      <c r="B67" s="87"/>
      <c r="C67" s="87" t="s">
        <v>163</v>
      </c>
      <c r="D67" s="87" t="s">
        <v>209</v>
      </c>
      <c r="E67" s="87"/>
      <c r="F67" s="87"/>
      <c r="G67" s="88">
        <v>2500</v>
      </c>
      <c r="H67" s="89">
        <v>0</v>
      </c>
      <c r="I67" s="90"/>
      <c r="J67" s="91">
        <f>G67*(H67+I67)</f>
        <v>0</v>
      </c>
      <c r="K67" s="92">
        <f t="shared" si="0"/>
        <v>0</v>
      </c>
      <c r="L67" s="92">
        <f>200*H67</f>
        <v>0</v>
      </c>
      <c r="M67" s="89"/>
      <c r="N67" s="124"/>
    </row>
    <row r="68" spans="1:14" s="43" customFormat="1" ht="27" x14ac:dyDescent="0.15">
      <c r="A68" s="4"/>
      <c r="B68" s="4"/>
      <c r="C68" s="4" t="s">
        <v>165</v>
      </c>
      <c r="D68" s="4" t="s">
        <v>166</v>
      </c>
      <c r="E68" s="4"/>
      <c r="F68" s="4"/>
      <c r="G68" s="18"/>
      <c r="H68" s="28">
        <v>0</v>
      </c>
      <c r="I68" s="11"/>
      <c r="J68" s="12">
        <f t="shared" si="2"/>
        <v>0</v>
      </c>
      <c r="K68" s="20">
        <f t="shared" si="0"/>
        <v>0</v>
      </c>
      <c r="L68" s="42"/>
      <c r="M68" s="28"/>
      <c r="N68" s="4"/>
    </row>
    <row r="69" spans="1:14" ht="27" x14ac:dyDescent="0.15">
      <c r="A69" s="2" t="s">
        <v>197</v>
      </c>
      <c r="B69" s="2" t="s">
        <v>167</v>
      </c>
      <c r="C69" s="2" t="s">
        <v>168</v>
      </c>
      <c r="D69" s="2"/>
      <c r="E69" s="2"/>
      <c r="F69" s="2" t="s">
        <v>169</v>
      </c>
      <c r="G69" s="16">
        <v>300</v>
      </c>
      <c r="H69" s="27">
        <v>1</v>
      </c>
      <c r="I69" s="6"/>
      <c r="J69" s="10">
        <f t="shared" si="2"/>
        <v>300</v>
      </c>
      <c r="K69" s="20">
        <f t="shared" si="0"/>
        <v>2.5210084033613445</v>
      </c>
      <c r="L69" s="20"/>
      <c r="M69" s="27"/>
      <c r="N69" s="2"/>
    </row>
    <row r="70" spans="1:14" s="118" customFormat="1" ht="27" x14ac:dyDescent="0.15">
      <c r="A70" s="2" t="s">
        <v>269</v>
      </c>
      <c r="B70" s="2" t="s">
        <v>270</v>
      </c>
      <c r="C70" s="2" t="s">
        <v>271</v>
      </c>
      <c r="D70" s="2"/>
      <c r="E70" s="2"/>
      <c r="F70" s="2"/>
      <c r="G70" s="16">
        <v>80</v>
      </c>
      <c r="H70" s="27">
        <v>1</v>
      </c>
      <c r="I70" s="6"/>
      <c r="J70" s="10">
        <f t="shared" si="2"/>
        <v>80</v>
      </c>
      <c r="K70" s="20"/>
      <c r="L70" s="20"/>
      <c r="M70" s="27"/>
      <c r="N70" s="2"/>
    </row>
    <row r="71" spans="1:14" ht="27" x14ac:dyDescent="0.15">
      <c r="A71" s="2" t="s">
        <v>170</v>
      </c>
      <c r="B71" s="2" t="s">
        <v>171</v>
      </c>
      <c r="C71" s="2" t="s">
        <v>172</v>
      </c>
      <c r="D71" s="2" t="s">
        <v>173</v>
      </c>
      <c r="E71" s="2" t="s">
        <v>174</v>
      </c>
      <c r="F71" s="2" t="s">
        <v>175</v>
      </c>
      <c r="G71" s="16">
        <f>341/700*80</f>
        <v>38.971428571428575</v>
      </c>
      <c r="H71" s="27">
        <v>1</v>
      </c>
      <c r="I71" s="6"/>
      <c r="J71" s="10">
        <f>G71*(H71+I71)</f>
        <v>38.971428571428575</v>
      </c>
      <c r="K71" s="20">
        <f t="shared" si="0"/>
        <v>0.32749099639855944</v>
      </c>
      <c r="L71" s="20"/>
      <c r="M71" s="27"/>
      <c r="N71" s="2"/>
    </row>
    <row r="72" spans="1:14" ht="40.5" x14ac:dyDescent="0.15">
      <c r="A72" s="2" t="s">
        <v>176</v>
      </c>
      <c r="B72" s="2" t="s">
        <v>177</v>
      </c>
      <c r="C72" s="2"/>
      <c r="D72" s="2" t="s">
        <v>178</v>
      </c>
      <c r="E72" s="2"/>
      <c r="F72" s="2"/>
      <c r="G72" s="16">
        <v>5</v>
      </c>
      <c r="H72" s="27">
        <v>4</v>
      </c>
      <c r="I72" s="6"/>
      <c r="J72" s="10">
        <f>G72*(H72+I72)</f>
        <v>20</v>
      </c>
      <c r="K72" s="20">
        <f t="shared" si="0"/>
        <v>0.16806722689075632</v>
      </c>
      <c r="L72" s="20"/>
      <c r="M72" s="27"/>
      <c r="N72" s="2"/>
    </row>
    <row r="73" spans="1:14" ht="40.5" x14ac:dyDescent="0.15">
      <c r="A73" s="2" t="s">
        <v>179</v>
      </c>
      <c r="B73" s="2" t="s">
        <v>272</v>
      </c>
      <c r="C73" s="2"/>
      <c r="D73" s="2"/>
      <c r="E73" s="2" t="s">
        <v>273</v>
      </c>
      <c r="F73" s="2"/>
      <c r="G73" s="16">
        <v>5</v>
      </c>
      <c r="H73" s="27">
        <v>2</v>
      </c>
      <c r="I73" s="6"/>
      <c r="J73" s="10">
        <f>G73*(H73+I73)</f>
        <v>10</v>
      </c>
      <c r="K73" s="20">
        <f t="shared" si="0"/>
        <v>8.4033613445378158E-2</v>
      </c>
      <c r="L73" s="20"/>
      <c r="M73" s="27"/>
      <c r="N73" s="2"/>
    </row>
    <row r="74" spans="1:14" s="54" customFormat="1" x14ac:dyDescent="0.15">
      <c r="A74" s="48"/>
      <c r="B74" s="48"/>
      <c r="C74" s="48"/>
      <c r="D74" s="48"/>
      <c r="E74" s="48"/>
      <c r="F74" s="48"/>
      <c r="G74" s="49"/>
      <c r="H74" s="64"/>
      <c r="I74" s="51"/>
      <c r="J74" s="52"/>
      <c r="K74" s="20"/>
      <c r="L74" s="53"/>
      <c r="M74" s="50"/>
      <c r="N74" s="48"/>
    </row>
    <row r="75" spans="1:14" x14ac:dyDescent="0.15">
      <c r="A75" s="4"/>
      <c r="B75" s="4" t="s">
        <v>180</v>
      </c>
      <c r="C75" s="4" t="s">
        <v>181</v>
      </c>
      <c r="D75" s="2"/>
      <c r="E75" s="2"/>
      <c r="F75" s="2"/>
      <c r="G75" s="16"/>
      <c r="H75" s="27"/>
      <c r="I75" s="6"/>
      <c r="J75" s="10"/>
      <c r="K75" s="20"/>
      <c r="L75" s="20"/>
      <c r="M75" s="27"/>
      <c r="N75" s="2"/>
    </row>
    <row r="76" spans="1:14" x14ac:dyDescent="0.15">
      <c r="A76" s="4"/>
      <c r="B76" s="4"/>
      <c r="C76" s="4"/>
      <c r="D76" s="2"/>
      <c r="E76" s="2"/>
      <c r="F76" s="2"/>
      <c r="G76" s="16"/>
      <c r="H76" s="27"/>
      <c r="I76" s="6"/>
      <c r="J76" s="10"/>
      <c r="K76" s="20"/>
      <c r="L76" s="20"/>
      <c r="M76" s="27"/>
      <c r="N76" s="2"/>
    </row>
    <row r="77" spans="1:14" x14ac:dyDescent="0.15">
      <c r="A77" s="2"/>
      <c r="B77" s="2" t="s">
        <v>182</v>
      </c>
      <c r="C77" s="2" t="s">
        <v>183</v>
      </c>
      <c r="D77" s="2" t="s">
        <v>50</v>
      </c>
      <c r="E77" s="2"/>
      <c r="F77" s="2"/>
      <c r="G77" s="16"/>
      <c r="H77" s="27"/>
      <c r="I77" s="6"/>
      <c r="J77" s="10"/>
      <c r="K77" s="20"/>
      <c r="L77" s="20"/>
      <c r="M77" s="27"/>
      <c r="N77" s="2"/>
    </row>
    <row r="78" spans="1:14" x14ac:dyDescent="0.15">
      <c r="A78" s="2"/>
      <c r="B78" s="2"/>
      <c r="C78" s="2"/>
      <c r="D78" s="2" t="s">
        <v>13</v>
      </c>
      <c r="E78" s="2"/>
      <c r="F78" s="2"/>
      <c r="G78" s="16"/>
      <c r="H78" s="27"/>
      <c r="I78" s="6"/>
      <c r="J78" s="10"/>
      <c r="K78" s="20"/>
      <c r="L78" s="20"/>
      <c r="M78" s="27"/>
      <c r="N78" s="2"/>
    </row>
    <row r="79" spans="1:14" x14ac:dyDescent="0.15">
      <c r="A79" s="2"/>
      <c r="B79" s="2"/>
      <c r="C79" s="2"/>
      <c r="D79" s="2" t="s">
        <v>184</v>
      </c>
      <c r="E79" s="2"/>
      <c r="F79" s="2"/>
      <c r="G79" s="16"/>
      <c r="H79" s="27"/>
      <c r="I79" s="6"/>
      <c r="J79" s="10"/>
      <c r="K79" s="20"/>
      <c r="L79" s="20"/>
      <c r="M79" s="27"/>
      <c r="N79" s="2"/>
    </row>
    <row r="80" spans="1:14" x14ac:dyDescent="0.15">
      <c r="A80" s="2"/>
      <c r="B80" s="2"/>
      <c r="C80" s="2"/>
      <c r="D80" s="2" t="s">
        <v>246</v>
      </c>
      <c r="E80" s="2"/>
      <c r="F80" s="2"/>
      <c r="G80" s="16"/>
      <c r="H80" s="27"/>
      <c r="I80" s="6"/>
      <c r="J80" s="10"/>
      <c r="K80" s="20"/>
      <c r="L80" s="20"/>
      <c r="M80" s="27"/>
      <c r="N80" s="2"/>
    </row>
    <row r="81" spans="1:16" ht="40.5" x14ac:dyDescent="0.15">
      <c r="A81" s="2"/>
      <c r="B81" s="2"/>
      <c r="C81" s="2" t="s">
        <v>200</v>
      </c>
      <c r="D81" s="2" t="s">
        <v>185</v>
      </c>
      <c r="E81" s="2"/>
      <c r="F81" s="2"/>
      <c r="G81" s="16"/>
      <c r="H81" s="27"/>
      <c r="I81" s="6"/>
      <c r="J81" s="10"/>
      <c r="K81" s="20"/>
      <c r="L81" s="20"/>
      <c r="M81" s="27"/>
      <c r="N81" s="2"/>
    </row>
    <row r="82" spans="1:16" ht="27" x14ac:dyDescent="0.15">
      <c r="A82" s="2"/>
      <c r="B82" s="2" t="s">
        <v>186</v>
      </c>
      <c r="C82" s="2"/>
      <c r="D82" s="2"/>
      <c r="E82" s="2"/>
      <c r="F82" s="2"/>
      <c r="G82" s="16">
        <v>1500</v>
      </c>
      <c r="H82" s="27">
        <v>1</v>
      </c>
      <c r="I82" s="6"/>
      <c r="J82" s="10">
        <f t="shared" ref="J82:J87" si="3">G82*(H82+I82)</f>
        <v>1500</v>
      </c>
      <c r="K82" s="20">
        <f>J82/$N$2</f>
        <v>12.605042016806722</v>
      </c>
      <c r="L82" s="20"/>
      <c r="M82" s="27">
        <f>O2*45/60*2</f>
        <v>3000</v>
      </c>
      <c r="N82" s="2"/>
    </row>
    <row r="83" spans="1:16" ht="40.5" x14ac:dyDescent="0.15">
      <c r="A83" s="2"/>
      <c r="B83" s="2"/>
      <c r="C83" s="7" t="s">
        <v>218</v>
      </c>
      <c r="D83" s="13" t="s">
        <v>206</v>
      </c>
      <c r="E83" s="2"/>
      <c r="F83" s="14"/>
      <c r="G83" s="16">
        <v>2000</v>
      </c>
      <c r="H83" s="64">
        <v>15</v>
      </c>
      <c r="I83" s="6"/>
      <c r="J83" s="10">
        <f t="shared" si="3"/>
        <v>30000</v>
      </c>
      <c r="K83" s="20">
        <f t="shared" ref="K83:K86" si="4">J83/$N$2</f>
        <v>252.10084033613447</v>
      </c>
      <c r="L83" s="20"/>
      <c r="M83" s="27"/>
      <c r="N83" s="2"/>
    </row>
    <row r="84" spans="1:16" ht="40.5" x14ac:dyDescent="0.15">
      <c r="A84" s="30"/>
      <c r="B84" s="30" t="s">
        <v>219</v>
      </c>
      <c r="C84" s="44" t="s">
        <v>255</v>
      </c>
      <c r="D84" s="45"/>
      <c r="E84" s="30"/>
      <c r="F84" s="46"/>
      <c r="G84" s="32">
        <v>1000</v>
      </c>
      <c r="H84" s="65">
        <v>1</v>
      </c>
      <c r="I84" s="31"/>
      <c r="J84" s="10">
        <f t="shared" si="3"/>
        <v>1000</v>
      </c>
      <c r="K84" s="20">
        <f t="shared" si="4"/>
        <v>8.4033613445378155</v>
      </c>
      <c r="M84" s="34">
        <v>6000</v>
      </c>
      <c r="N84" s="30"/>
    </row>
    <row r="85" spans="1:16" x14ac:dyDescent="0.15">
      <c r="A85" s="30"/>
      <c r="B85" s="30" t="s">
        <v>211</v>
      </c>
      <c r="C85" s="44"/>
      <c r="D85" s="45"/>
      <c r="E85" s="30"/>
      <c r="F85" s="46"/>
      <c r="G85" s="32">
        <v>500</v>
      </c>
      <c r="H85" s="65">
        <v>1</v>
      </c>
      <c r="I85" s="31"/>
      <c r="J85" s="10">
        <f t="shared" si="3"/>
        <v>500</v>
      </c>
      <c r="K85" s="20">
        <f t="shared" si="4"/>
        <v>4.2016806722689077</v>
      </c>
      <c r="M85" s="34">
        <v>7500</v>
      </c>
      <c r="N85" s="30"/>
    </row>
    <row r="86" spans="1:16" x14ac:dyDescent="0.15">
      <c r="A86" s="30"/>
      <c r="B86" s="30" t="s">
        <v>213</v>
      </c>
      <c r="C86" s="44"/>
      <c r="D86" s="45"/>
      <c r="E86" s="30"/>
      <c r="F86" s="46"/>
      <c r="G86" s="32">
        <v>20000</v>
      </c>
      <c r="H86" s="65">
        <v>1</v>
      </c>
      <c r="I86" s="31"/>
      <c r="J86" s="47">
        <f t="shared" si="3"/>
        <v>20000</v>
      </c>
      <c r="K86" s="20">
        <f t="shared" si="4"/>
        <v>168.0672268907563</v>
      </c>
      <c r="L86" s="34"/>
      <c r="M86" s="33"/>
      <c r="N86" s="30"/>
    </row>
    <row r="87" spans="1:16" ht="40.5" x14ac:dyDescent="0.15">
      <c r="A87" s="30"/>
      <c r="B87" s="30" t="s">
        <v>214</v>
      </c>
      <c r="C87" s="44"/>
      <c r="D87" s="45" t="s">
        <v>247</v>
      </c>
      <c r="E87" s="30"/>
      <c r="F87" s="46"/>
      <c r="G87" s="32">
        <v>7500</v>
      </c>
      <c r="H87" s="65">
        <v>1</v>
      </c>
      <c r="I87" s="31"/>
      <c r="J87" s="47">
        <f t="shared" si="3"/>
        <v>7500</v>
      </c>
      <c r="K87" s="20">
        <f>J87/$N$2</f>
        <v>63.025210084033617</v>
      </c>
      <c r="L87" s="31">
        <v>2050</v>
      </c>
      <c r="M87" s="33"/>
      <c r="N87" s="30"/>
    </row>
    <row r="88" spans="1:16" ht="81" x14ac:dyDescent="0.15">
      <c r="A88" s="30"/>
      <c r="B88" s="30"/>
      <c r="C88" s="30"/>
      <c r="D88" s="30"/>
      <c r="E88" s="30"/>
      <c r="F88" s="31" t="s">
        <v>187</v>
      </c>
      <c r="G88" s="32"/>
      <c r="H88" s="33"/>
      <c r="I88" s="31"/>
      <c r="J88" s="31">
        <f>SUM(J7:J87)</f>
        <v>74596.603213701252</v>
      </c>
      <c r="K88" s="20">
        <f>J88/$N$2</f>
        <v>626.86221187984245</v>
      </c>
      <c r="L88" s="31">
        <f>SUM(L7:L87)</f>
        <v>3812.818181818182</v>
      </c>
      <c r="M88" s="31">
        <f>SUM(M7:M87)</f>
        <v>37500</v>
      </c>
      <c r="N88" s="30" t="s">
        <v>195</v>
      </c>
      <c r="O88" s="25" t="s">
        <v>188</v>
      </c>
    </row>
    <row r="89" spans="1:16" ht="40.5" x14ac:dyDescent="0.15">
      <c r="A89" s="30"/>
      <c r="B89" s="30"/>
      <c r="C89" s="30"/>
      <c r="D89" s="30"/>
      <c r="E89" s="30"/>
      <c r="F89" s="31"/>
      <c r="G89" s="32"/>
      <c r="H89" s="33"/>
      <c r="I89" s="31"/>
      <c r="J89" s="31" t="s">
        <v>212</v>
      </c>
      <c r="K89" s="31" t="s">
        <v>193</v>
      </c>
      <c r="L89" s="31" t="s">
        <v>250</v>
      </c>
      <c r="M89" s="31" t="s">
        <v>249</v>
      </c>
      <c r="N89" s="31" t="s">
        <v>192</v>
      </c>
      <c r="O89" s="31" t="s">
        <v>277</v>
      </c>
      <c r="P89" s="31" t="s">
        <v>194</v>
      </c>
    </row>
    <row r="90" spans="1:16" s="2" customFormat="1" x14ac:dyDescent="0.15">
      <c r="F90" s="2" t="s">
        <v>189</v>
      </c>
      <c r="G90" s="16"/>
      <c r="H90" s="27"/>
      <c r="I90" s="6"/>
      <c r="J90" s="6">
        <f>J88+L88+M88</f>
        <v>115909.42139551943</v>
      </c>
      <c r="K90" s="71"/>
      <c r="L90" s="6">
        <f>(J90+K90)*1</f>
        <v>115909.42139551943</v>
      </c>
      <c r="M90" s="6">
        <f>L90*1.1</f>
        <v>127500.36353507139</v>
      </c>
      <c r="N90" s="20">
        <f>(M90*0.06+40)</f>
        <v>7690.0218121042826</v>
      </c>
      <c r="O90" s="6">
        <f>(M90+N90)*1</f>
        <v>135190.38534717567</v>
      </c>
      <c r="P90" s="20">
        <f>O90/$N$2</f>
        <v>1136.0536583796274</v>
      </c>
    </row>
    <row r="91" spans="1:16" ht="27" x14ac:dyDescent="0.15">
      <c r="J91" s="35" t="s">
        <v>278</v>
      </c>
      <c r="K91" s="35" t="s">
        <v>278</v>
      </c>
      <c r="L91" s="35" t="s">
        <v>278</v>
      </c>
      <c r="M91" s="35" t="s">
        <v>278</v>
      </c>
      <c r="N91" s="35" t="s">
        <v>278</v>
      </c>
      <c r="O91" s="35" t="s">
        <v>278</v>
      </c>
      <c r="P91" s="35" t="s">
        <v>248</v>
      </c>
    </row>
    <row r="92" spans="1:16" x14ac:dyDescent="0.15">
      <c r="J92" s="122">
        <f>J90/$N$2</f>
        <v>974.02875122285229</v>
      </c>
      <c r="K92" s="122">
        <f t="shared" ref="K92:N92" si="5">K90/$N$2</f>
        <v>0</v>
      </c>
      <c r="L92" s="122">
        <f t="shared" si="5"/>
        <v>974.02875122285229</v>
      </c>
      <c r="M92" s="122">
        <f t="shared" si="5"/>
        <v>1071.4316263451378</v>
      </c>
      <c r="N92" s="122">
        <f t="shared" si="5"/>
        <v>64.622032034489763</v>
      </c>
      <c r="O92" s="120"/>
    </row>
    <row r="93" spans="1:16" x14ac:dyDescent="0.15">
      <c r="J93" s="35" t="s">
        <v>279</v>
      </c>
      <c r="K93" s="35" t="s">
        <v>279</v>
      </c>
      <c r="L93" s="35" t="s">
        <v>279</v>
      </c>
      <c r="M93" s="35" t="s">
        <v>279</v>
      </c>
      <c r="N93" s="35" t="s">
        <v>279</v>
      </c>
      <c r="O93" s="120"/>
    </row>
    <row r="94" spans="1:16" x14ac:dyDescent="0.15">
      <c r="N94" s="23"/>
    </row>
    <row r="96" spans="1:16" ht="112.5" customHeight="1" x14ac:dyDescent="0.15">
      <c r="A96" s="1" t="s">
        <v>190</v>
      </c>
      <c r="B96" s="123"/>
      <c r="C96" s="123"/>
      <c r="D96" s="123"/>
      <c r="F96" s="119" t="s">
        <v>275</v>
      </c>
    </row>
    <row r="97" spans="1:6" ht="27" x14ac:dyDescent="0.15">
      <c r="F97" s="25" t="s">
        <v>276</v>
      </c>
    </row>
    <row r="98" spans="1:6" ht="114.75" customHeight="1" x14ac:dyDescent="0.15">
      <c r="A98" s="1" t="s">
        <v>191</v>
      </c>
      <c r="B98" s="123" t="s">
        <v>274</v>
      </c>
      <c r="C98" s="123"/>
      <c r="D98" s="123"/>
    </row>
  </sheetData>
  <mergeCells count="2">
    <mergeCell ref="B96:D96"/>
    <mergeCell ref="B98:D98"/>
  </mergeCells>
  <phoneticPr fontId="6"/>
  <hyperlinks>
    <hyperlink ref="N35" r:id="rId1"/>
    <hyperlink ref="N62" r:id="rId2"/>
    <hyperlink ref="N61" r:id="rId3"/>
    <hyperlink ref="N65" r:id="rId4"/>
    <hyperlink ref="N60" r:id="rId5"/>
    <hyperlink ref="N33" r:id="rId6"/>
    <hyperlink ref="N50" r:id="rId7"/>
    <hyperlink ref="N38" r:id="rId8"/>
    <hyperlink ref="N51" r:id="rId9"/>
    <hyperlink ref="N55" r:id="rId10"/>
    <hyperlink ref="O88" r:id="rId11"/>
    <hyperlink ref="N39" r:id="rId12"/>
    <hyperlink ref="N40" r:id="rId13"/>
    <hyperlink ref="N44" r:id="rId14"/>
    <hyperlink ref="N63" r:id="rId15"/>
    <hyperlink ref="N45" r:id="rId16"/>
    <hyperlink ref="N49" r:id="rId17"/>
    <hyperlink ref="N52" r:id="rId18"/>
    <hyperlink ref="N46" r:id="rId19"/>
    <hyperlink ref="F97" r:id="rId20"/>
    <hyperlink ref="N66" r:id="rId21"/>
  </hyperlinks>
  <pageMargins left="0.75" right="0.75" top="0.43958333333333333" bottom="0.26944444444444443" header="0.3298611111111111" footer="0.17986111111111111"/>
  <pageSetup paperSize="9" scale="80" firstPageNumber="4294963191" fitToHeight="0" orientation="landscape" horizontalDpi="4294967293" verticalDpi="150" r:id="rId22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/>
  <pageMargins left="0.75" right="0.75" top="1" bottom="1" header="0.51180555555555551" footer="0.51180555555555551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kazuhiko kakuta</dc:creator>
  <cp:lastModifiedBy>user</cp:lastModifiedBy>
  <cp:revision/>
  <cp:lastPrinted>2014-11-18T23:12:15Z</cp:lastPrinted>
  <dcterms:created xsi:type="dcterms:W3CDTF">2013-05-15T01:04:58Z</dcterms:created>
  <dcterms:modified xsi:type="dcterms:W3CDTF">2016-01-29T03:27:08Z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1041-8.1.0.3373</vt:lpwstr>
  </property>
</Properties>
</file>