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omments1.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Rafaella\Documents\Bernardo\"/>
    </mc:Choice>
  </mc:AlternateContent>
  <bookViews>
    <workbookView xWindow="0" yWindow="0" windowWidth="23040" windowHeight="8808" activeTab="3"/>
  </bookViews>
  <sheets>
    <sheet name="Introduction" sheetId="4" r:id="rId1"/>
    <sheet name="Model data" sheetId="5" r:id="rId2"/>
    <sheet name="Method" sheetId="1" r:id="rId3"/>
    <sheet name="Plan1" sheetId="7" r:id="rId4"/>
    <sheet name="Mortality rates" sheetId="6" r:id="rId5"/>
    <sheet name="Graphs" sheetId="2" r:id="rId6"/>
  </sheets>
  <externalReferences>
    <externalReference r:id="rId7"/>
    <externalReference r:id="rId8"/>
    <externalReference r:id="rId9"/>
    <externalReference r:id="rId10"/>
  </externalReferences>
  <definedNames>
    <definedName name="__123Graph_A" hidden="1">'[1]Deadkids correction to CEB'!$Z$26:$Z$42</definedName>
    <definedName name="__123Graph_AADJUST" hidden="1">'[1]Deadkids correction to CEB'!$Z$26:$Z$42</definedName>
    <definedName name="__123Graph_ACOMPARE" hidden="1">'[1]Deadkids correction to CEB'!$X$3:$X$18</definedName>
    <definedName name="__123Graph_B" hidden="1">'[1]Deadkids correction to CEB'!$AC$26:$AC$42</definedName>
    <definedName name="__123Graph_BADJUST" hidden="1">'[1]Deadkids correction to CEB'!$AC$26:$AC$42</definedName>
    <definedName name="__123Graph_BCOMPARE" hidden="1">'[1]Deadkids correction to CEB'!$Y$3:$Y$19</definedName>
    <definedName name="__123Graph_C" hidden="1">'[1]Deadkids correction to CEB'!$AA$26:$AA$60</definedName>
    <definedName name="__123Graph_CADJUST" hidden="1">'[1]Deadkids correction to CEB'!$AA$26:$AA$60</definedName>
    <definedName name="__123Graph_CCOMPARE" hidden="1">'[1]Deadkids correction to CEB'!$X$3:$X$9</definedName>
    <definedName name="__123Graph_DCOMPARE" hidden="1">'[1]Deadkids correction to CEB'!$Y$3:$Y$9</definedName>
    <definedName name="__123Graph_F" hidden="1">'[1]Deadkids correction to CEB'!$AE$26:$AE$49</definedName>
    <definedName name="__123Graph_FADJUST" hidden="1">'[1]Deadkids correction to CEB'!$AE$26:$AE$49</definedName>
    <definedName name="__123Graph_LBL_A" hidden="1">'[1]Deadkids correction to CEB'!$AB$26:$AB$42</definedName>
    <definedName name="__123Graph_LBL_AADJUST" hidden="1">'[1]Deadkids correction to CEB'!$AB$26:$AB$42</definedName>
    <definedName name="__123Graph_LBL_ACOMPARE" hidden="1">'[1]Deadkids correction to CEB'!$V$3:$V$19</definedName>
    <definedName name="__123Graph_LBL_CCOMPARE" hidden="1">'[1]Deadkids correction to CEB'!$V$3:$V$9</definedName>
    <definedName name="__123Graph_LBL_F" hidden="1">'[1]Deadkids correction to CEB'!$AF$26:$AF$49</definedName>
    <definedName name="__123Graph_LBL_FADJUST" hidden="1">'[1]Deadkids correction to CEB'!$AF$26:$AF$49</definedName>
    <definedName name="__123Graph_X" hidden="1">'[1]Deadkids correction to CEB'!$Y$26:$Y$60</definedName>
    <definedName name="__123Graph_XADJUST" hidden="1">'[1]Deadkids correction to CEB'!$Y$26:$Y$60</definedName>
    <definedName name="__123Graph_XCOMPARE" hidden="1">'[1]Deadkids correction to CEB'!$W$3:$W$19</definedName>
    <definedName name="_Key1" localSheetId="4" hidden="1">#REF!</definedName>
    <definedName name="_Key1" hidden="1">#REF!</definedName>
    <definedName name="_Order1" hidden="1">255</definedName>
    <definedName name="_Sort" localSheetId="4" hidden="1">#REF!</definedName>
    <definedName name="_Sort" hidden="1">#REF!</definedName>
    <definedName name="ALPHAC" localSheetId="4">#REF!</definedName>
    <definedName name="ALPHAC">#REF!</definedName>
    <definedName name="ALPHAF" localSheetId="4">#REF!</definedName>
    <definedName name="ALPHAF">#REF!</definedName>
    <definedName name="ALPHAP" localSheetId="4">#REF!</definedName>
    <definedName name="ALPHAP">#REF!</definedName>
    <definedName name="BETAC" localSheetId="4">#REF!</definedName>
    <definedName name="BETAC">#REF!</definedName>
    <definedName name="BETAF" localSheetId="4">#REF!</definedName>
    <definedName name="BETAF">#REF!</definedName>
    <definedName name="BETAP" localSheetId="4">#REF!</definedName>
    <definedName name="BETAP">#REF!</definedName>
    <definedName name="CCONST" localSheetId="4">#REF!</definedName>
    <definedName name="CCONST">#REF!</definedName>
    <definedName name="CINTERCEPT" localSheetId="4">#REF!</definedName>
    <definedName name="CINTERCEPT">#REF!</definedName>
    <definedName name="CSLOP" localSheetId="4">#REF!</definedName>
    <definedName name="CSLOP">#REF!</definedName>
    <definedName name="Date_of_survey" localSheetId="1">'[2]Maternal orphanhood'!$S$1</definedName>
    <definedName name="Date_of_survey">'[3]Maternal orphanhood'!$T$1</definedName>
    <definedName name="FCONST" localSheetId="4">#REF!</definedName>
    <definedName name="FCONST">#REF!</definedName>
    <definedName name="FINTERCEPT" localSheetId="4">#REF!</definedName>
    <definedName name="FINTERCEPT">#REF!</definedName>
    <definedName name="FPTS" localSheetId="4">#REF!</definedName>
    <definedName name="FPTS">#REF!</definedName>
    <definedName name="FSLOP" localSheetId="4">#REF!</definedName>
    <definedName name="FSLOP">#REF!</definedName>
    <definedName name="graph1" hidden="1">[4]GOMP!$Z$26:$Z$42</definedName>
    <definedName name="graph10" hidden="1">[4]GOMP!$Y$3:$Y$9</definedName>
    <definedName name="graph11" hidden="1">[4]GOMP!$AE$26:$AE$49</definedName>
    <definedName name="graph12" hidden="1">[4]GOMP!$AE$26:$AE$49</definedName>
    <definedName name="graph13" hidden="1">[4]GOMP!$AB$26:$AB$42</definedName>
    <definedName name="graph14" hidden="1">[4]GOMP!$AB$26:$AB$42</definedName>
    <definedName name="graph15" hidden="1">[4]GOMP!$V$3:$V$19</definedName>
    <definedName name="graph16" hidden="1">[4]GOMP!$V$3:$V$9</definedName>
    <definedName name="graph17" hidden="1">[4]GOMP!$AF$26:$AF$49</definedName>
    <definedName name="graph18" hidden="1">[4]GOMP!$AF$26:$AF$49</definedName>
    <definedName name="graph19" hidden="1">[4]GOMP!$Y$26:$Y$60</definedName>
    <definedName name="graph1a" localSheetId="4" hidden="1">#REF!</definedName>
    <definedName name="graph1a" hidden="1">#REF!</definedName>
    <definedName name="graph2" hidden="1">[4]GOMP!$Z$26:$Z$42</definedName>
    <definedName name="graph20" hidden="1">[4]GOMP!$Y$26:$Y$60</definedName>
    <definedName name="graph21" hidden="1">[4]GOMP!$W$3:$W$19</definedName>
    <definedName name="graph3" hidden="1">[4]GOMP!$X$3:$X$18</definedName>
    <definedName name="graph4" hidden="1">[4]GOMP!$AC$26:$AC$42</definedName>
    <definedName name="graph5" hidden="1">[4]GOMP!$AC$26:$AC$42</definedName>
    <definedName name="graph6" hidden="1">[4]GOMP!$Y$3:$Y$19</definedName>
    <definedName name="graph7" hidden="1">[4]GOMP!$AA$26:$AA$60</definedName>
    <definedName name="graph8" hidden="1">[4]GOMP!$AA$26:$AA$60</definedName>
    <definedName name="graph9" hidden="1">[4]GOMP!$X$3:$X$9</definedName>
    <definedName name="HALF" localSheetId="4">#REF!</definedName>
    <definedName name="HALF">#REF!</definedName>
    <definedName name="IMPORT" localSheetId="4">#REF!</definedName>
    <definedName name="IMPORT">#REF!</definedName>
    <definedName name="INPUT" localSheetId="4">#REF!</definedName>
    <definedName name="INPUT">#REF!</definedName>
    <definedName name="LEGB" localSheetId="4">#REF!</definedName>
    <definedName name="LEGB">#REF!</definedName>
    <definedName name="LEGC" localSheetId="4">#REF!</definedName>
    <definedName name="LEGC">#REF!</definedName>
    <definedName name="LEVELC" localSheetId="4">#REF!</definedName>
    <definedName name="LEVELC">#REF!</definedName>
    <definedName name="LEVELF" localSheetId="4">#REF!</definedName>
    <definedName name="LEVELF">#REF!</definedName>
    <definedName name="LEVELP" localSheetId="4">#REF!</definedName>
    <definedName name="LEVELP">#REF!</definedName>
    <definedName name="MAXF" localSheetId="4">#REF!</definedName>
    <definedName name="MAXF">#REF!</definedName>
    <definedName name="MAXP" localSheetId="4">#REF!</definedName>
    <definedName name="MAXP">#REF!</definedName>
    <definedName name="MBAR" localSheetId="1">'[2]Maternal orphanhood'!$D$57</definedName>
    <definedName name="MBAR">'[3]Maternal orphanhood'!$D$43</definedName>
    <definedName name="MBAR_m" localSheetId="1">'[2]Paternal orphanhood'!$C$43</definedName>
    <definedName name="MBAR_m">'[3]Paternal orphanhood'!$C$31</definedName>
    <definedName name="MINF" localSheetId="4">#REF!</definedName>
    <definedName name="MINF">#REF!</definedName>
    <definedName name="MINP" localSheetId="4">#REF!</definedName>
    <definedName name="MINP">#REF!</definedName>
    <definedName name="NC" localSheetId="4">#REF!</definedName>
    <definedName name="NC">#REF!</definedName>
    <definedName name="NF" localSheetId="4">#REF!</definedName>
    <definedName name="NF">#REF!</definedName>
    <definedName name="NONE" localSheetId="4">#REF!</definedName>
    <definedName name="NONE">#REF!</definedName>
    <definedName name="NP" localSheetId="4">#REF!</definedName>
    <definedName name="NP">#REF!</definedName>
    <definedName name="ONE_AHALF" localSheetId="4">#REF!</definedName>
    <definedName name="ONE_AHALF">#REF!</definedName>
    <definedName name="PCONST" localSheetId="4">#REF!</definedName>
    <definedName name="PCONST">#REF!</definedName>
    <definedName name="PINTERCEPT" localSheetId="4">#REF!</definedName>
    <definedName name="PINTERCEPT">#REF!</definedName>
    <definedName name="PPTS" localSheetId="4">#REF!</definedName>
    <definedName name="PPTS">#REF!</definedName>
    <definedName name="PSLOP" localSheetId="4">#REF!</definedName>
    <definedName name="PSLOP">#REF!</definedName>
    <definedName name="SHIFT" localSheetId="4">#REF!</definedName>
    <definedName name="SHIFT">#REF!</definedName>
    <definedName name="solver_adj" localSheetId="2" hidden="1">Method!#REF!</definedName>
    <definedName name="solver_adj" localSheetId="4" hidden="1">'Mortality rates'!#REF!</definedName>
    <definedName name="solver_cvg" localSheetId="2" hidden="1">0.0001</definedName>
    <definedName name="solver_cvg" localSheetId="4" hidden="1">0.0001</definedName>
    <definedName name="solver_drv" localSheetId="2" hidden="1">1</definedName>
    <definedName name="solver_drv" localSheetId="4" hidden="1">1</definedName>
    <definedName name="solver_est" localSheetId="2" hidden="1">1</definedName>
    <definedName name="solver_est" localSheetId="4" hidden="1">1</definedName>
    <definedName name="solver_itr" localSheetId="2" hidden="1">100</definedName>
    <definedName name="solver_itr" localSheetId="4" hidden="1">100</definedName>
    <definedName name="solver_lin" localSheetId="2" hidden="1">2</definedName>
    <definedName name="solver_lin" localSheetId="4" hidden="1">2</definedName>
    <definedName name="solver_neg" localSheetId="2" hidden="1">2</definedName>
    <definedName name="solver_neg" localSheetId="4" hidden="1">2</definedName>
    <definedName name="solver_num" localSheetId="2" hidden="1">0</definedName>
    <definedName name="solver_num" localSheetId="4" hidden="1">0</definedName>
    <definedName name="solver_nwt" localSheetId="2" hidden="1">1</definedName>
    <definedName name="solver_nwt" localSheetId="4" hidden="1">1</definedName>
    <definedName name="solver_opt" localSheetId="2" hidden="1">Method!#REF!</definedName>
    <definedName name="solver_opt" localSheetId="4" hidden="1">'Mortality rates'!#REF!</definedName>
    <definedName name="solver_pre" localSheetId="2" hidden="1">0.000001</definedName>
    <definedName name="solver_pre" localSheetId="4" hidden="1">0.000001</definedName>
    <definedName name="solver_scl" localSheetId="2" hidden="1">2</definedName>
    <definedName name="solver_scl" localSheetId="4" hidden="1">2</definedName>
    <definedName name="solver_sho" localSheetId="2" hidden="1">2</definedName>
    <definedName name="solver_sho" localSheetId="4" hidden="1">2</definedName>
    <definedName name="solver_tim" localSheetId="2" hidden="1">100</definedName>
    <definedName name="solver_tim" localSheetId="4" hidden="1">100</definedName>
    <definedName name="solver_tol" localSheetId="2" hidden="1">0.05</definedName>
    <definedName name="solver_tol" localSheetId="4" hidden="1">0.05</definedName>
    <definedName name="solver_typ" localSheetId="2" hidden="1">2</definedName>
    <definedName name="solver_typ" localSheetId="4" hidden="1">2</definedName>
    <definedName name="solver_val" localSheetId="2" hidden="1">0</definedName>
    <definedName name="solver_val" localSheetId="4" hidden="1">0</definedName>
    <definedName name="TITLE" localSheetId="4">#REF!</definedName>
    <definedName name="TITLE">#REF!</definedName>
    <definedName name="WHICH" localSheetId="4">#REF!</definedName>
    <definedName name="WHICH">#REF!</definedName>
    <definedName name="WHOLE" localSheetId="4">#REF!</definedName>
    <definedName name="WHOLE">#REF!</definedName>
    <definedName name="XC" localSheetId="4">#REF!</definedName>
    <definedName name="XC">#REF!</definedName>
    <definedName name="XF" localSheetId="4">#REF!</definedName>
    <definedName name="XF">#REF!</definedName>
    <definedName name="XP" localSheetId="4">#REF!</definedName>
    <definedName name="XP">#REF!</definedName>
    <definedName name="XXC" localSheetId="4">#REF!</definedName>
    <definedName name="XXC">#REF!</definedName>
    <definedName name="XXF" localSheetId="4">#REF!</definedName>
    <definedName name="XXF">#REF!</definedName>
    <definedName name="XXP" localSheetId="4">#REF!</definedName>
    <definedName name="XXP">#REF!</definedName>
    <definedName name="XYC" localSheetId="4">#REF!</definedName>
    <definedName name="XYC">#REF!</definedName>
    <definedName name="XYF" localSheetId="4">#REF!</definedName>
    <definedName name="XYF">#REF!</definedName>
    <definedName name="XYP" localSheetId="4">#REF!</definedName>
    <definedName name="XYP">#REF!</definedName>
    <definedName name="YC" localSheetId="4">#REF!</definedName>
    <definedName name="YC">#REF!</definedName>
    <definedName name="YF" localSheetId="4">#REF!</definedName>
    <definedName name="YF">#REF!</definedName>
    <definedName name="YP" localSheetId="4">#REF!</definedName>
    <definedName name="YP">#REF!</definedName>
    <definedName name="YYC" localSheetId="4">#REF!</definedName>
    <definedName name="YYC">#REF!</definedName>
    <definedName name="YYF" localSheetId="4">#REF!</definedName>
    <definedName name="YYF">#REF!</definedName>
    <definedName name="YYP" localSheetId="4">#REF!</definedName>
    <definedName name="YYP">#REF!</definedName>
  </definedNames>
  <calcPr calcId="152511"/>
</workbook>
</file>

<file path=xl/calcChain.xml><?xml version="1.0" encoding="utf-8"?>
<calcChain xmlns="http://schemas.openxmlformats.org/spreadsheetml/2006/main">
  <c r="C2" i="1" l="1"/>
  <c r="G24" i="6" l="1"/>
  <c r="B23" i="5" l="1"/>
  <c r="B3" i="6" l="1"/>
  <c r="B1" i="6"/>
  <c r="Q6" i="6"/>
  <c r="P6" i="6"/>
  <c r="O6" i="6"/>
  <c r="N6" i="6"/>
  <c r="M6" i="6"/>
  <c r="L6" i="6"/>
  <c r="K6" i="6"/>
  <c r="J6" i="6"/>
  <c r="I6" i="6"/>
  <c r="H6" i="6"/>
  <c r="G6" i="6"/>
  <c r="F6" i="6"/>
  <c r="E6" i="6"/>
  <c r="D6" i="6"/>
  <c r="C6" i="6"/>
  <c r="B6" i="6"/>
  <c r="A6" i="6"/>
  <c r="E2" i="1" l="1"/>
  <c r="A24" i="1"/>
  <c r="A23" i="1"/>
  <c r="A20" i="1"/>
  <c r="A21" i="1"/>
  <c r="A22" i="1"/>
  <c r="I6" i="1" l="1"/>
  <c r="M23" i="1" l="1"/>
  <c r="M22" i="1"/>
  <c r="L23" i="1"/>
  <c r="L22" i="1"/>
  <c r="B28" i="5" l="1"/>
  <c r="C28" i="5" s="1"/>
  <c r="B29" i="5"/>
  <c r="C29" i="5" s="1"/>
  <c r="B30" i="5"/>
  <c r="C30" i="5" s="1"/>
  <c r="B31" i="5"/>
  <c r="C31" i="5" s="1"/>
  <c r="B32" i="5"/>
  <c r="C32" i="5" s="1"/>
  <c r="B33" i="5"/>
  <c r="C33" i="5" s="1"/>
  <c r="B34" i="5"/>
  <c r="C34" i="5" s="1"/>
  <c r="B35" i="5"/>
  <c r="C35" i="5" s="1"/>
  <c r="B36" i="5"/>
  <c r="C36" i="5" s="1"/>
  <c r="B37" i="5"/>
  <c r="C37" i="5" s="1"/>
  <c r="B38" i="5"/>
  <c r="C38" i="5" s="1"/>
  <c r="B39" i="5"/>
  <c r="C39" i="5" s="1"/>
  <c r="B40" i="5"/>
  <c r="C40" i="5" s="1"/>
  <c r="B41" i="5"/>
  <c r="C41" i="5" s="1"/>
  <c r="B42" i="5"/>
  <c r="C42" i="5" s="1"/>
  <c r="B27" i="5"/>
  <c r="C27" i="5" s="1"/>
  <c r="B26" i="5"/>
  <c r="C26" i="5" s="1"/>
  <c r="D26" i="5" s="1"/>
  <c r="J8" i="6" s="1"/>
  <c r="J5" i="6"/>
  <c r="D41" i="5" l="1"/>
  <c r="J23" i="6" s="1"/>
  <c r="K23" i="6" s="1"/>
  <c r="D37" i="5"/>
  <c r="J19" i="6" s="1"/>
  <c r="K19" i="6" s="1"/>
  <c r="D33" i="5"/>
  <c r="J15" i="6" s="1"/>
  <c r="K15" i="6" s="1"/>
  <c r="D29" i="5"/>
  <c r="J11" i="6" s="1"/>
  <c r="K11" i="6" s="1"/>
  <c r="D40" i="5"/>
  <c r="J22" i="6" s="1"/>
  <c r="K22" i="6" s="1"/>
  <c r="D36" i="5"/>
  <c r="J18" i="6" s="1"/>
  <c r="K18" i="6" s="1"/>
  <c r="D32" i="5"/>
  <c r="J14" i="6" s="1"/>
  <c r="K14" i="6" s="1"/>
  <c r="D28" i="5"/>
  <c r="J10" i="6" s="1"/>
  <c r="K10" i="6" s="1"/>
  <c r="D27" i="5"/>
  <c r="J9" i="6" s="1"/>
  <c r="K9" i="6" s="1"/>
  <c r="D39" i="5"/>
  <c r="J21" i="6" s="1"/>
  <c r="K21" i="6" s="1"/>
  <c r="D35" i="5"/>
  <c r="J17" i="6" s="1"/>
  <c r="K17" i="6" s="1"/>
  <c r="D31" i="5"/>
  <c r="J13" i="6" s="1"/>
  <c r="K13" i="6" s="1"/>
  <c r="D42" i="5"/>
  <c r="J24" i="6" s="1"/>
  <c r="D38" i="5"/>
  <c r="J20" i="6" s="1"/>
  <c r="K20" i="6" s="1"/>
  <c r="D34" i="5"/>
  <c r="J16" i="6" s="1"/>
  <c r="K16" i="6" s="1"/>
  <c r="D30" i="5"/>
  <c r="J12" i="6" s="1"/>
  <c r="K12" i="6" s="1"/>
  <c r="H23" i="1"/>
  <c r="I23" i="1" s="1"/>
  <c r="H22" i="1"/>
  <c r="J25" i="6" l="1"/>
  <c r="J26" i="6" s="1"/>
  <c r="J27" i="6" s="1"/>
  <c r="K27" i="6" s="1"/>
  <c r="K24" i="6"/>
  <c r="E3" i="1"/>
  <c r="K26" i="6" l="1"/>
  <c r="K25" i="6"/>
  <c r="H8" i="1"/>
  <c r="H21" i="1"/>
  <c r="H10" i="1"/>
  <c r="H14" i="1"/>
  <c r="H18" i="1"/>
  <c r="H13" i="1"/>
  <c r="H20" i="1"/>
  <c r="H11" i="1"/>
  <c r="H15" i="1"/>
  <c r="H19" i="1"/>
  <c r="H12" i="1"/>
  <c r="H16" i="1"/>
  <c r="H9" i="1"/>
  <c r="H17" i="1"/>
  <c r="C1" i="1" l="1"/>
  <c r="C3" i="1"/>
  <c r="F23" i="1" l="1"/>
  <c r="F22" i="1" s="1"/>
  <c r="F21" i="1" s="1"/>
  <c r="F20" i="1" s="1"/>
  <c r="F24" i="1"/>
  <c r="F19" i="1" l="1"/>
  <c r="F18" i="1" s="1"/>
  <c r="F17" i="1" s="1"/>
  <c r="F16" i="1" s="1"/>
  <c r="F15" i="1" s="1"/>
  <c r="F14" i="1" s="1"/>
  <c r="F13" i="1" s="1"/>
  <c r="F12" i="1" s="1"/>
  <c r="F11" i="1" s="1"/>
  <c r="F10" i="1" s="1"/>
  <c r="F9" i="1" s="1"/>
  <c r="F8" i="1" s="1"/>
  <c r="F7" i="1" s="1"/>
  <c r="C6" i="1" l="1"/>
  <c r="D6" i="1"/>
  <c r="E24" i="1" l="1"/>
  <c r="B23" i="1"/>
  <c r="K23" i="1" s="1"/>
  <c r="B22" i="1"/>
  <c r="K22" i="1" s="1"/>
  <c r="B21" i="1"/>
  <c r="B20" i="1"/>
  <c r="H3" i="1" l="1"/>
  <c r="E23" i="1"/>
  <c r="G24" i="1"/>
  <c r="B6" i="1"/>
  <c r="E6" i="1"/>
  <c r="F6" i="1"/>
  <c r="G6" i="1"/>
  <c r="H6" i="1"/>
  <c r="J6" i="1"/>
  <c r="K6" i="1"/>
  <c r="L6" i="1"/>
  <c r="M6" i="1"/>
  <c r="A6" i="1"/>
  <c r="E22" i="1" l="1"/>
  <c r="G23" i="1"/>
  <c r="E21" i="1" l="1"/>
  <c r="G22" i="1"/>
  <c r="I22" i="1" s="1"/>
  <c r="C26" i="1"/>
  <c r="D26" i="1"/>
  <c r="E20" i="1" l="1"/>
  <c r="G21" i="1"/>
  <c r="I21" i="1" s="1"/>
  <c r="K21" i="1" s="1"/>
  <c r="G20" i="1" l="1"/>
  <c r="I20" i="1" s="1"/>
  <c r="K20" i="1" s="1"/>
  <c r="E19" i="1"/>
  <c r="J20" i="1" l="1"/>
  <c r="E18" i="1"/>
  <c r="G19" i="1"/>
  <c r="I19" i="1" s="1"/>
  <c r="K19" i="1" s="1"/>
  <c r="J22" i="1"/>
  <c r="J23" i="1"/>
  <c r="J21" i="1"/>
  <c r="E17" i="1" l="1"/>
  <c r="G18" i="1"/>
  <c r="I18" i="1" s="1"/>
  <c r="K18" i="1" s="1"/>
  <c r="E16" i="1" l="1"/>
  <c r="G17" i="1"/>
  <c r="I17" i="1" s="1"/>
  <c r="K17" i="1" s="1"/>
  <c r="E15" i="1" l="1"/>
  <c r="G16" i="1"/>
  <c r="I16" i="1" s="1"/>
  <c r="K16" i="1" s="1"/>
  <c r="J19" i="1"/>
  <c r="E14" i="1" l="1"/>
  <c r="G15" i="1"/>
  <c r="I15" i="1" s="1"/>
  <c r="K15" i="1" s="1"/>
  <c r="J18" i="1"/>
  <c r="E13" i="1" l="1"/>
  <c r="G14" i="1"/>
  <c r="I14" i="1" s="1"/>
  <c r="K14" i="1" s="1"/>
  <c r="J17" i="1"/>
  <c r="E12" i="1" l="1"/>
  <c r="G13" i="1"/>
  <c r="I13" i="1" s="1"/>
  <c r="K13" i="1" s="1"/>
  <c r="J16" i="1"/>
  <c r="E11" i="1" l="1"/>
  <c r="G12" i="1"/>
  <c r="I12" i="1" s="1"/>
  <c r="K12" i="1" s="1"/>
  <c r="J15" i="1"/>
  <c r="E10" i="1" l="1"/>
  <c r="G11" i="1"/>
  <c r="I11" i="1" s="1"/>
  <c r="K11" i="1" s="1"/>
  <c r="J14" i="1"/>
  <c r="E9" i="1" l="1"/>
  <c r="G10" i="1"/>
  <c r="I10" i="1" s="1"/>
  <c r="K10" i="1" s="1"/>
  <c r="J13" i="1"/>
  <c r="E8" i="1" l="1"/>
  <c r="G9" i="1"/>
  <c r="I9" i="1" s="1"/>
  <c r="K9" i="1" s="1"/>
  <c r="J12" i="1"/>
  <c r="E7" i="1" l="1"/>
  <c r="G7" i="1" s="1"/>
  <c r="G8" i="1"/>
  <c r="I8" i="1" s="1"/>
  <c r="K8" i="1" s="1"/>
  <c r="J11" i="1"/>
  <c r="J10" i="1" l="1"/>
  <c r="J9" i="1" l="1"/>
  <c r="J8" i="1"/>
  <c r="M27" i="1"/>
  <c r="L21" i="1" l="1"/>
  <c r="M21" i="1" s="1"/>
  <c r="M26" i="1"/>
  <c r="L17" i="1" l="1"/>
  <c r="M17" i="1" s="1"/>
  <c r="L13" i="1"/>
  <c r="M13" i="1" s="1"/>
  <c r="L7" i="1"/>
  <c r="L10" i="1"/>
  <c r="M10" i="1" s="1"/>
  <c r="L14" i="1"/>
  <c r="M14" i="1" s="1"/>
  <c r="L9" i="1"/>
  <c r="M9" i="1" s="1"/>
  <c r="L15" i="1"/>
  <c r="M15" i="1" s="1"/>
  <c r="L12" i="1"/>
  <c r="M12" i="1" s="1"/>
  <c r="L18" i="1"/>
  <c r="M18" i="1" s="1"/>
  <c r="K27" i="1"/>
  <c r="B18" i="6" s="1"/>
  <c r="D18" i="6" s="1"/>
  <c r="L16" i="1"/>
  <c r="M16" i="1" s="1"/>
  <c r="L19" i="1"/>
  <c r="M19" i="1" s="1"/>
  <c r="L8" i="1"/>
  <c r="M8" i="1" s="1"/>
  <c r="L11" i="1"/>
  <c r="M11" i="1" s="1"/>
  <c r="L20" i="1"/>
  <c r="M20" i="1" s="1"/>
  <c r="B11" i="6" l="1"/>
  <c r="D11" i="6" s="1"/>
  <c r="B9" i="6"/>
  <c r="D9" i="6" s="1"/>
  <c r="B14" i="6"/>
  <c r="D14" i="6" s="1"/>
  <c r="B16" i="6"/>
  <c r="D16" i="6" s="1"/>
  <c r="B10" i="6"/>
  <c r="D10" i="6" s="1"/>
  <c r="B17" i="6"/>
  <c r="D17" i="6" s="1"/>
  <c r="K26" i="1"/>
  <c r="C21" i="6" s="1"/>
  <c r="B19" i="6"/>
  <c r="D19" i="6" s="1"/>
  <c r="B21" i="6"/>
  <c r="D21" i="6" s="1"/>
  <c r="B23" i="6"/>
  <c r="D23" i="6" s="1"/>
  <c r="E23" i="6" s="1"/>
  <c r="B12" i="6"/>
  <c r="D12" i="6" s="1"/>
  <c r="B15" i="6"/>
  <c r="D15" i="6" s="1"/>
  <c r="B8" i="6"/>
  <c r="D8" i="6" s="1"/>
  <c r="B13" i="6"/>
  <c r="D13" i="6" s="1"/>
  <c r="B24" i="6"/>
  <c r="D24" i="6" s="1"/>
  <c r="A24" i="6" s="1"/>
  <c r="B20" i="6"/>
  <c r="D20" i="6" s="1"/>
  <c r="B22" i="6"/>
  <c r="D22" i="6" s="1"/>
  <c r="A21" i="6" s="1"/>
  <c r="C8" i="6" l="1"/>
  <c r="E8" i="6" s="1"/>
  <c r="G8" i="6" s="1"/>
  <c r="H9" i="6" s="1"/>
  <c r="C19" i="6"/>
  <c r="E19" i="6" s="1"/>
  <c r="G19" i="6" s="1"/>
  <c r="E24" i="6"/>
  <c r="C13" i="6"/>
  <c r="E13" i="6" s="1"/>
  <c r="G13" i="6" s="1"/>
  <c r="C9" i="6"/>
  <c r="E9" i="6" s="1"/>
  <c r="G9" i="6" s="1"/>
  <c r="C17" i="6"/>
  <c r="E17" i="6" s="1"/>
  <c r="G17" i="6" s="1"/>
  <c r="C15" i="6"/>
  <c r="E15" i="6" s="1"/>
  <c r="G15" i="6" s="1"/>
  <c r="C10" i="6"/>
  <c r="E10" i="6" s="1"/>
  <c r="G10" i="6" s="1"/>
  <c r="C12" i="6"/>
  <c r="E12" i="6" s="1"/>
  <c r="G12" i="6" s="1"/>
  <c r="C24" i="6"/>
  <c r="G23" i="6" s="1"/>
  <c r="A20" i="6"/>
  <c r="C20" i="6"/>
  <c r="E20" i="6" s="1"/>
  <c r="G20" i="6" s="1"/>
  <c r="C22" i="6"/>
  <c r="E22" i="6" s="1"/>
  <c r="C14" i="6"/>
  <c r="E14" i="6" s="1"/>
  <c r="G14" i="6" s="1"/>
  <c r="C16" i="6"/>
  <c r="E16" i="6" s="1"/>
  <c r="G16" i="6" s="1"/>
  <c r="C23" i="6"/>
  <c r="G22" i="6" s="1"/>
  <c r="C11" i="6"/>
  <c r="E11" i="6" s="1"/>
  <c r="G11" i="6" s="1"/>
  <c r="C18" i="6"/>
  <c r="E18" i="6" s="1"/>
  <c r="G18" i="6" s="1"/>
  <c r="E21" i="6"/>
  <c r="G21" i="6" s="1"/>
  <c r="A23" i="6"/>
  <c r="A22" i="6"/>
  <c r="B26" i="6"/>
  <c r="C26" i="6" l="1"/>
  <c r="I9" i="6"/>
  <c r="H10" i="6"/>
  <c r="I10" i="6" l="1"/>
  <c r="H11" i="6"/>
  <c r="I11" i="6" l="1"/>
  <c r="H12" i="6"/>
  <c r="H13" i="6" l="1"/>
  <c r="I12" i="6"/>
  <c r="H14" i="6" l="1"/>
  <c r="I13" i="6"/>
  <c r="H15" i="6" l="1"/>
  <c r="I14" i="6"/>
  <c r="I15" i="6" l="1"/>
  <c r="H16" i="6"/>
  <c r="H17" i="6" l="1"/>
  <c r="I16" i="6"/>
  <c r="H18" i="6" l="1"/>
  <c r="I17" i="6"/>
  <c r="H19" i="6" l="1"/>
  <c r="I18" i="6"/>
  <c r="H20" i="6" l="1"/>
  <c r="I19" i="6"/>
  <c r="H21" i="6" l="1"/>
  <c r="I20" i="6"/>
  <c r="H22" i="6" l="1"/>
  <c r="I21" i="6"/>
  <c r="I22" i="6" l="1"/>
  <c r="H23" i="6"/>
  <c r="H24" i="6" l="1"/>
  <c r="I23" i="6"/>
  <c r="H25" i="6" l="1"/>
  <c r="I25" i="6" s="1"/>
  <c r="I24" i="6"/>
  <c r="M3" i="6"/>
  <c r="M2" i="6"/>
  <c r="L16" i="6" l="1"/>
  <c r="M16" i="6" s="1"/>
  <c r="L26" i="6"/>
  <c r="M26" i="6" s="1"/>
  <c r="L24" i="6"/>
  <c r="M24" i="6" s="1"/>
  <c r="L14" i="6"/>
  <c r="M14" i="6" s="1"/>
  <c r="L9" i="6"/>
  <c r="M9" i="6" s="1"/>
  <c r="L21" i="6"/>
  <c r="M21" i="6" s="1"/>
  <c r="L25" i="6"/>
  <c r="M25" i="6" s="1"/>
  <c r="L12" i="6"/>
  <c r="M12" i="6" s="1"/>
  <c r="L18" i="6"/>
  <c r="M18" i="6" s="1"/>
  <c r="L23" i="6"/>
  <c r="M23" i="6" s="1"/>
  <c r="L22" i="6"/>
  <c r="M22" i="6" s="1"/>
  <c r="L10" i="6"/>
  <c r="M10" i="6" s="1"/>
  <c r="L17" i="6"/>
  <c r="M17" i="6" s="1"/>
  <c r="L11" i="6"/>
  <c r="M11" i="6" s="1"/>
  <c r="L15" i="6"/>
  <c r="M15" i="6" s="1"/>
  <c r="L27" i="6"/>
  <c r="M27" i="6" s="1"/>
  <c r="N27" i="6" s="1"/>
  <c r="L13" i="6"/>
  <c r="M13" i="6" s="1"/>
  <c r="L20" i="6"/>
  <c r="M20" i="6" s="1"/>
  <c r="P20" i="6" s="1"/>
  <c r="L19" i="6"/>
  <c r="M19" i="6" s="1"/>
  <c r="P15" i="6" l="1"/>
  <c r="N26" i="6"/>
  <c r="N25" i="6" s="1"/>
  <c r="N24" i="6" s="1"/>
  <c r="P11" i="6"/>
  <c r="P23" i="6"/>
  <c r="P13" i="6"/>
  <c r="P22" i="6"/>
  <c r="O2" i="6"/>
  <c r="P19" i="6"/>
  <c r="P17" i="6"/>
  <c r="O3" i="6"/>
  <c r="P8" i="6"/>
  <c r="P9" i="6"/>
  <c r="P18" i="6"/>
  <c r="P24" i="6"/>
  <c r="P16" i="6"/>
  <c r="P10" i="6"/>
  <c r="P12" i="6"/>
  <c r="P21" i="6"/>
  <c r="P14" i="6"/>
  <c r="O25" i="6" l="1"/>
  <c r="P25" i="6" s="1"/>
  <c r="N23" i="6"/>
  <c r="O24" i="6"/>
  <c r="N22" i="6" l="1"/>
  <c r="O23" i="6"/>
  <c r="N21" i="6" l="1"/>
  <c r="O22" i="6"/>
  <c r="O21" i="6" l="1"/>
  <c r="N20" i="6"/>
  <c r="N19" i="6" l="1"/>
  <c r="O20" i="6"/>
  <c r="O19" i="6" l="1"/>
  <c r="N18" i="6"/>
  <c r="N17" i="6" l="1"/>
  <c r="O18" i="6"/>
  <c r="O17" i="6" l="1"/>
  <c r="N16" i="6"/>
  <c r="N15" i="6" l="1"/>
  <c r="O16" i="6"/>
  <c r="N14" i="6" l="1"/>
  <c r="O15" i="6"/>
  <c r="O14" i="6" l="1"/>
  <c r="N13" i="6"/>
  <c r="O13" i="6" l="1"/>
  <c r="N12" i="6"/>
  <c r="O12" i="6" l="1"/>
  <c r="N11" i="6"/>
  <c r="O11" i="6" l="1"/>
  <c r="N10" i="6"/>
  <c r="O10" i="6" l="1"/>
  <c r="N9" i="6"/>
  <c r="O9" i="6" l="1"/>
  <c r="N8" i="6"/>
  <c r="O8" i="6" s="1"/>
  <c r="J27" i="7"/>
  <c r="J26" i="7"/>
  <c r="H27" i="7" l="1"/>
  <c r="H26" i="7" s="1"/>
</calcChain>
</file>

<file path=xl/comments1.xml><?xml version="1.0" encoding="utf-8"?>
<comments xmlns="http://schemas.openxmlformats.org/spreadsheetml/2006/main">
  <authors>
    <author>Rob Dorrrington</author>
  </authors>
  <commentList>
    <comment ref="N1" authorId="0" shapeId="0">
      <text>
        <r>
          <rPr>
            <sz val="10"/>
            <color indexed="81"/>
            <rFont val="Arial"/>
            <family val="2"/>
          </rPr>
          <t>These values are only valid if the standard table used to smooth the rates is appropriate. An appropriate table produces a fit with most of the points in the graphs to the right lying close to the line.
As it stands this table is set up primarily to estimate e(65) to e(85).</t>
        </r>
      </text>
    </comment>
  </commentList>
</comments>
</file>

<file path=xl/sharedStrings.xml><?xml version="1.0" encoding="utf-8"?>
<sst xmlns="http://schemas.openxmlformats.org/spreadsheetml/2006/main" count="176" uniqueCount="109">
  <si>
    <t>Fit from:</t>
  </si>
  <si>
    <t>Fit to:</t>
  </si>
  <si>
    <t>x</t>
  </si>
  <si>
    <t>Age</t>
  </si>
  <si>
    <t>Alpha  =</t>
  </si>
  <si>
    <t>45q15 =</t>
  </si>
  <si>
    <t>D(x+)</t>
  </si>
  <si>
    <t>PYL(x+)</t>
  </si>
  <si>
    <t>N(x)</t>
  </si>
  <si>
    <t>a+bx</t>
  </si>
  <si>
    <t>Beta   =</t>
  </si>
  <si>
    <t>35q15 =</t>
  </si>
  <si>
    <t xml:space="preserve">     0-4</t>
  </si>
  <si>
    <t xml:space="preserve">     5-9</t>
  </si>
  <si>
    <t xml:space="preserve">     10-14</t>
  </si>
  <si>
    <t xml:space="preserve">     15-19</t>
  </si>
  <si>
    <t xml:space="preserve">     20-24</t>
  </si>
  <si>
    <t xml:space="preserve">     25-29</t>
  </si>
  <si>
    <t xml:space="preserve">     30-34</t>
  </si>
  <si>
    <t xml:space="preserve">     35-39</t>
  </si>
  <si>
    <t xml:space="preserve">     40-44</t>
  </si>
  <si>
    <t xml:space="preserve">     45-49</t>
  </si>
  <si>
    <t xml:space="preserve">     50-54</t>
  </si>
  <si>
    <t xml:space="preserve">     55-59</t>
  </si>
  <si>
    <t xml:space="preserve">     60-64</t>
  </si>
  <si>
    <t>Total</t>
  </si>
  <si>
    <t>a =</t>
  </si>
  <si>
    <t>b =</t>
  </si>
  <si>
    <t>Country:</t>
  </si>
  <si>
    <t>Midpoint of the deaths:</t>
  </si>
  <si>
    <t>Age range over which line to be fitted</t>
  </si>
  <si>
    <t>Females</t>
  </si>
  <si>
    <t>Sex</t>
  </si>
  <si>
    <t>WARNING</t>
  </si>
  <si>
    <t xml:space="preserve">This method is described at: </t>
  </si>
  <si>
    <t>Application</t>
  </si>
  <si>
    <t>Estimation of adult mortality using the Growth Balance model - Instructions</t>
  </si>
  <si>
    <t>El Salvador</t>
  </si>
  <si>
    <t>Input parameters</t>
  </si>
  <si>
    <t>Name of country/population:</t>
  </si>
  <si>
    <t>Select standard life table:</t>
  </si>
  <si>
    <t>Princeton South</t>
  </si>
  <si>
    <t>Date of start of period of deaths:</t>
  </si>
  <si>
    <t>Date of end of period of deaths:</t>
  </si>
  <si>
    <t>Sex:</t>
  </si>
  <si>
    <t>UN General</t>
  </si>
  <si>
    <t>Princeton East</t>
  </si>
  <si>
    <t>Princeton North</t>
  </si>
  <si>
    <t>Princeton West</t>
  </si>
  <si>
    <t>AIDS</t>
  </si>
  <si>
    <t>Other</t>
  </si>
  <si>
    <t>Standard life table</t>
  </si>
  <si>
    <t>Modified</t>
  </si>
  <si>
    <t>Standard</t>
  </si>
  <si>
    <t>Date of census:</t>
  </si>
  <si>
    <t>Upper age</t>
  </si>
  <si>
    <t>Lower age</t>
  </si>
  <si>
    <t>d(x+) = X</t>
  </si>
  <si>
    <t>Residuals y-(a+bx)</t>
  </si>
  <si>
    <t>Adjusted PYL(x,5)</t>
  </si>
  <si>
    <t>N(x+)</t>
  </si>
  <si>
    <t xml:space="preserve">Period of deaths (yrs) = </t>
  </si>
  <si>
    <r>
      <t xml:space="preserve">Annual growth rate of stable population, </t>
    </r>
    <r>
      <rPr>
        <i/>
        <sz val="10"/>
        <rFont val="Arial"/>
        <family val="2"/>
      </rPr>
      <t>r</t>
    </r>
    <r>
      <rPr>
        <sz val="10"/>
        <rFont val="Arial"/>
        <family val="2"/>
      </rPr>
      <t xml:space="preserve"> =</t>
    </r>
  </si>
  <si>
    <t>Enter the name of the country or population in the cell to the right</t>
  </si>
  <si>
    <t>Enter the sex of the population in cell to the right</t>
  </si>
  <si>
    <t>Select the name of family of model life tables against which you want to assess the level and trend in mortality in this population using the drop down box to the right of this cell</t>
  </si>
  <si>
    <t>Enter the date of the census (YYYY/MM/DD) in the cell to the right</t>
  </si>
  <si>
    <t>Date of census (YYYY/MM/DD):</t>
  </si>
  <si>
    <t>Enter the date of the first day of the period over which the deaths are reported (YYYY/MM/DD) in the cell to the right</t>
  </si>
  <si>
    <t>Enter the date of the last day of the period over which the deaths are reported (YYYY/MM/DD) in the cell to the right</t>
  </si>
  <si>
    <r>
      <t xml:space="preserve">Ensure that all data has the same age at open interval. Paste estimates of the population numbers into cells </t>
    </r>
    <r>
      <rPr>
        <b/>
        <sz val="12"/>
        <rFont val="Arial"/>
        <family val="2"/>
      </rPr>
      <t>C7:C24</t>
    </r>
    <r>
      <rPr>
        <sz val="12"/>
        <rFont val="Arial"/>
        <family val="2"/>
      </rPr>
      <t>, the estimates of the numbers of deaths into cells</t>
    </r>
    <r>
      <rPr>
        <b/>
        <sz val="12"/>
        <rFont val="Arial"/>
        <family val="2"/>
      </rPr>
      <t xml:space="preserve"> D7:D24</t>
    </r>
    <r>
      <rPr>
        <sz val="12"/>
        <rFont val="Arial"/>
        <family val="2"/>
      </rPr>
      <t xml:space="preserve"> </t>
    </r>
    <r>
      <rPr>
        <sz val="12"/>
        <rFont val="Arial"/>
        <family val="2"/>
      </rPr>
      <t xml:space="preserve">in the </t>
    </r>
    <r>
      <rPr>
        <b/>
        <i/>
        <sz val="12"/>
        <rFont val="Arial"/>
        <family val="2"/>
      </rPr>
      <t>Method</t>
    </r>
    <r>
      <rPr>
        <sz val="12"/>
        <rFont val="Arial"/>
        <family val="2"/>
      </rPr>
      <t xml:space="preserve"> spreadsheet.</t>
    </r>
  </si>
  <si>
    <r>
      <t xml:space="preserve">Set cell </t>
    </r>
    <r>
      <rPr>
        <b/>
        <sz val="12"/>
        <rFont val="Arial"/>
        <family val="2"/>
      </rPr>
      <t>G3</t>
    </r>
    <r>
      <rPr>
        <sz val="12"/>
        <rFont val="Arial"/>
        <family val="2"/>
      </rPr>
      <t xml:space="preserve"> in the </t>
    </r>
    <r>
      <rPr>
        <b/>
        <i/>
        <sz val="12"/>
        <rFont val="Arial"/>
        <family val="2"/>
      </rPr>
      <t>Method</t>
    </r>
    <r>
      <rPr>
        <sz val="12"/>
        <rFont val="Arial"/>
        <family val="2"/>
      </rPr>
      <t xml:space="preserve"> spreadsheet to 1 less than the age at the start of the open interval</t>
    </r>
  </si>
  <si>
    <r>
      <t xml:space="preserve">Remove all numbers from cells </t>
    </r>
    <r>
      <rPr>
        <b/>
        <sz val="12"/>
        <rFont val="Arial"/>
        <family val="2"/>
      </rPr>
      <t>C7:D24</t>
    </r>
    <r>
      <rPr>
        <sz val="12"/>
        <rFont val="Arial"/>
        <family val="2"/>
      </rPr>
      <t xml:space="preserve"> in the </t>
    </r>
    <r>
      <rPr>
        <b/>
        <i/>
        <sz val="12"/>
        <rFont val="Arial"/>
        <family val="2"/>
      </rPr>
      <t>Method</t>
    </r>
    <r>
      <rPr>
        <sz val="12"/>
        <rFont val="Arial"/>
        <family val="2"/>
      </rPr>
      <t xml:space="preserve"> spreadsheet.</t>
    </r>
  </si>
  <si>
    <r>
      <t xml:space="preserve">The estimate of completeness appears in cell </t>
    </r>
    <r>
      <rPr>
        <b/>
        <sz val="12"/>
        <rFont val="Arial"/>
        <family val="2"/>
      </rPr>
      <t>K26</t>
    </r>
    <r>
      <rPr>
        <sz val="12"/>
        <rFont val="Arial"/>
        <family val="2"/>
      </rPr>
      <t xml:space="preserve"> in the </t>
    </r>
    <r>
      <rPr>
        <b/>
        <i/>
        <sz val="12"/>
        <rFont val="Arial"/>
        <family val="2"/>
      </rPr>
      <t>Method</t>
    </r>
    <r>
      <rPr>
        <sz val="12"/>
        <rFont val="Arial"/>
        <family val="2"/>
      </rPr>
      <t xml:space="preserve"> spreadsheet. The estimates of mortality rates adjusted for incompleteness of registration appear in cells </t>
    </r>
    <r>
      <rPr>
        <b/>
        <sz val="12"/>
        <rFont val="Arial"/>
        <family val="2"/>
      </rPr>
      <t>E8:E24</t>
    </r>
    <r>
      <rPr>
        <sz val="12"/>
        <rFont val="Arial"/>
        <family val="2"/>
      </rPr>
      <t xml:space="preserve"> in the </t>
    </r>
    <r>
      <rPr>
        <b/>
        <i/>
        <sz val="12"/>
        <rFont val="Arial"/>
        <family val="2"/>
      </rPr>
      <t>Mortality rates</t>
    </r>
    <r>
      <rPr>
        <sz val="12"/>
        <rFont val="Arial"/>
        <family val="2"/>
      </rPr>
      <t xml:space="preserve"> spreadsheet.</t>
    </r>
  </si>
  <si>
    <r>
      <t xml:space="preserve">Smoothed mortality rates appear in cells </t>
    </r>
    <r>
      <rPr>
        <b/>
        <sz val="12"/>
        <rFont val="Arial"/>
        <family val="2"/>
      </rPr>
      <t xml:space="preserve">P8:P25 </t>
    </r>
    <r>
      <rPr>
        <sz val="12"/>
        <rFont val="Arial"/>
        <family val="2"/>
      </rPr>
      <t xml:space="preserve"> of the </t>
    </r>
    <r>
      <rPr>
        <b/>
        <i/>
        <sz val="12"/>
        <rFont val="Arial"/>
        <family val="2"/>
      </rPr>
      <t>Mortality rates</t>
    </r>
    <r>
      <rPr>
        <sz val="12"/>
        <rFont val="Arial"/>
        <family val="2"/>
      </rPr>
      <t xml:space="preserve"> spreadsheet</t>
    </r>
  </si>
  <si>
    <t>This spreadsheet estimates the completeness of reporting of adult deaths over a period where one has only one census, provided the population can be assumed to be stable. The spreadsheet also provides the means to smooth the adjusted age-specific death rates against a standard life table, provided one has access to a model life table that is appropriate (has a similar shape over the age range to that of the country being considered).</t>
  </si>
  <si>
    <r>
      <t xml:space="preserve">Adjusted mortality rates appear in cells </t>
    </r>
    <r>
      <rPr>
        <b/>
        <sz val="12"/>
        <rFont val="Arial"/>
        <family val="2"/>
      </rPr>
      <t xml:space="preserve">E8:E25 </t>
    </r>
    <r>
      <rPr>
        <sz val="12"/>
        <rFont val="Arial"/>
        <family val="2"/>
      </rPr>
      <t xml:space="preserve"> of the </t>
    </r>
    <r>
      <rPr>
        <b/>
        <i/>
        <sz val="12"/>
        <rFont val="Arial"/>
        <family val="2"/>
      </rPr>
      <t>Mortality rates</t>
    </r>
    <r>
      <rPr>
        <sz val="12"/>
        <rFont val="Arial"/>
        <family val="2"/>
      </rPr>
      <t xml:space="preserve"> spreadsheet</t>
    </r>
  </si>
  <si>
    <t>b(x+)</t>
  </si>
  <si>
    <t>b(x+) = Y</t>
  </si>
  <si>
    <r>
      <t xml:space="preserve">Completeness relative to population at midpoint, </t>
    </r>
    <r>
      <rPr>
        <i/>
        <sz val="10"/>
        <rFont val="Arial"/>
        <family val="2"/>
      </rPr>
      <t>c</t>
    </r>
    <r>
      <rPr>
        <sz val="10"/>
        <rFont val="Arial"/>
        <family val="2"/>
      </rPr>
      <t xml:space="preserve"> =</t>
    </r>
  </si>
  <si>
    <t>http://demographicestimation.iussp.org/content/brass-growth-balance-method</t>
  </si>
  <si>
    <r>
      <t xml:space="preserve">Inspect the diagnostic plot and decide on the age interval over which the completeness is to be estimated (cells </t>
    </r>
    <r>
      <rPr>
        <b/>
        <sz val="12"/>
        <rFont val="Arial"/>
        <family val="2"/>
      </rPr>
      <t>G2 &amp; G3</t>
    </r>
    <r>
      <rPr>
        <sz val="12"/>
        <rFont val="Arial"/>
        <family val="2"/>
      </rPr>
      <t>).</t>
    </r>
  </si>
  <si>
    <r>
      <t xml:space="preserve">Model life table logits </t>
    </r>
    <r>
      <rPr>
        <b/>
        <i/>
        <sz val="11"/>
        <rFont val="Arial Narrow"/>
        <family val="2"/>
      </rPr>
      <t>e</t>
    </r>
    <r>
      <rPr>
        <b/>
        <vertAlign val="subscript"/>
        <sz val="11"/>
        <rFont val="Arial Narrow"/>
        <family val="2"/>
      </rPr>
      <t>0</t>
    </r>
    <r>
      <rPr>
        <b/>
        <sz val="11"/>
        <rFont val="Arial Narrow"/>
        <family val="2"/>
      </rPr>
      <t>=60, female</t>
    </r>
  </si>
  <si>
    <r>
      <t>Women</t>
    </r>
    <r>
      <rPr>
        <b/>
        <i/>
        <sz val="11"/>
        <rFont val="Arial Narrow"/>
        <family val="2"/>
      </rPr>
      <t xml:space="preserve"> e</t>
    </r>
    <r>
      <rPr>
        <b/>
        <vertAlign val="subscript"/>
        <sz val="11"/>
        <rFont val="Arial Narrow"/>
        <family val="2"/>
      </rPr>
      <t>0</t>
    </r>
    <r>
      <rPr>
        <b/>
        <sz val="11"/>
        <rFont val="Arial Narrow"/>
        <family val="2"/>
      </rPr>
      <t>=55</t>
    </r>
  </si>
  <si>
    <r>
      <t xml:space="preserve">Model life table logits </t>
    </r>
    <r>
      <rPr>
        <b/>
        <i/>
        <sz val="11"/>
        <rFont val="Arial Narrow"/>
        <family val="2"/>
      </rPr>
      <t>e</t>
    </r>
    <r>
      <rPr>
        <b/>
        <vertAlign val="subscript"/>
        <sz val="11"/>
        <rFont val="Arial Narrow"/>
        <family val="2"/>
      </rPr>
      <t>0</t>
    </r>
    <r>
      <rPr>
        <b/>
        <sz val="11"/>
        <rFont val="Arial Narrow"/>
        <family val="2"/>
      </rPr>
      <t>=60, male</t>
    </r>
  </si>
  <si>
    <r>
      <t xml:space="preserve">Men </t>
    </r>
    <r>
      <rPr>
        <b/>
        <i/>
        <sz val="11"/>
        <rFont val="Arial Narrow"/>
        <family val="2"/>
      </rPr>
      <t>e</t>
    </r>
    <r>
      <rPr>
        <b/>
        <vertAlign val="subscript"/>
        <sz val="11"/>
        <rFont val="Arial Narrow"/>
        <family val="2"/>
      </rPr>
      <t>0</t>
    </r>
    <r>
      <rPr>
        <b/>
        <sz val="11"/>
        <rFont val="Arial Narrow"/>
        <family val="2"/>
      </rPr>
      <t>=50</t>
    </r>
  </si>
  <si>
    <r>
      <rPr>
        <b/>
        <i/>
        <sz val="11"/>
        <rFont val="Arial Narrow"/>
        <family val="2"/>
      </rPr>
      <t>e</t>
    </r>
    <r>
      <rPr>
        <b/>
        <vertAlign val="subscript"/>
        <sz val="11"/>
        <rFont val="Arial Narrow"/>
        <family val="2"/>
      </rPr>
      <t>0</t>
    </r>
    <r>
      <rPr>
        <b/>
        <sz val="11"/>
        <rFont val="Arial Narrow"/>
        <family val="2"/>
      </rPr>
      <t xml:space="preserve"> = 60</t>
    </r>
  </si>
  <si>
    <r>
      <rPr>
        <b/>
        <i/>
        <sz val="11"/>
        <rFont val="Arial Narrow"/>
        <family val="2"/>
      </rPr>
      <t>Y</t>
    </r>
    <r>
      <rPr>
        <b/>
        <vertAlign val="subscript"/>
        <sz val="11"/>
        <rFont val="Arial Narrow"/>
        <family val="2"/>
      </rPr>
      <t>s</t>
    </r>
    <r>
      <rPr>
        <b/>
        <sz val="11"/>
        <rFont val="Arial Narrow"/>
        <family val="2"/>
      </rPr>
      <t>(</t>
    </r>
    <r>
      <rPr>
        <b/>
        <i/>
        <sz val="11"/>
        <rFont val="Arial Narrow"/>
        <family val="2"/>
      </rPr>
      <t>x</t>
    </r>
    <r>
      <rPr>
        <b/>
        <sz val="11"/>
        <rFont val="Arial Narrow"/>
        <family val="2"/>
      </rPr>
      <t>)</t>
    </r>
  </si>
  <si>
    <r>
      <rPr>
        <b/>
        <i/>
        <sz val="11"/>
        <rFont val="Arial Narrow"/>
        <family val="2"/>
      </rPr>
      <t>l</t>
    </r>
    <r>
      <rPr>
        <b/>
        <sz val="11"/>
        <rFont val="Arial Narrow"/>
        <family val="2"/>
      </rPr>
      <t>(</t>
    </r>
    <r>
      <rPr>
        <b/>
        <i/>
        <sz val="11"/>
        <rFont val="Arial Narrow"/>
        <family val="2"/>
      </rPr>
      <t>x</t>
    </r>
    <r>
      <rPr>
        <b/>
        <sz val="11"/>
        <rFont val="Arial Narrow"/>
        <family val="2"/>
      </rPr>
      <t>)</t>
    </r>
  </si>
  <si>
    <r>
      <t>5</t>
    </r>
    <r>
      <rPr>
        <b/>
        <i/>
        <sz val="11"/>
        <rFont val="Arial Narrow"/>
        <family val="2"/>
      </rPr>
      <t>N</t>
    </r>
    <r>
      <rPr>
        <b/>
        <i/>
        <vertAlign val="subscript"/>
        <sz val="11"/>
        <rFont val="Arial Narrow"/>
        <family val="2"/>
      </rPr>
      <t>x</t>
    </r>
  </si>
  <si>
    <r>
      <t>5</t>
    </r>
    <r>
      <rPr>
        <b/>
        <i/>
        <sz val="11"/>
        <rFont val="Arial Narrow"/>
        <family val="2"/>
      </rPr>
      <t>D</t>
    </r>
    <r>
      <rPr>
        <b/>
        <i/>
        <vertAlign val="subscript"/>
        <sz val="11"/>
        <rFont val="Arial Narrow"/>
        <family val="2"/>
      </rPr>
      <t>x</t>
    </r>
  </si>
  <si>
    <r>
      <rPr>
        <b/>
        <sz val="11"/>
        <rFont val="Arial Narrow"/>
        <family val="2"/>
      </rPr>
      <t xml:space="preserve">Ajusted </t>
    </r>
    <r>
      <rPr>
        <b/>
        <vertAlign val="subscript"/>
        <sz val="11"/>
        <rFont val="Arial Narrow"/>
        <family val="2"/>
      </rPr>
      <t xml:space="preserve"> 5</t>
    </r>
    <r>
      <rPr>
        <b/>
        <i/>
        <sz val="11"/>
        <rFont val="Arial Narrow"/>
        <family val="2"/>
      </rPr>
      <t>N</t>
    </r>
    <r>
      <rPr>
        <b/>
        <i/>
        <vertAlign val="subscript"/>
        <sz val="11"/>
        <rFont val="Arial Narrow"/>
        <family val="2"/>
      </rPr>
      <t>x</t>
    </r>
    <r>
      <rPr>
        <b/>
        <sz val="11"/>
        <rFont val="Arial Narrow"/>
        <family val="2"/>
      </rPr>
      <t>(</t>
    </r>
    <r>
      <rPr>
        <b/>
        <i/>
        <sz val="11"/>
        <rFont val="Arial Narrow"/>
        <family val="2"/>
      </rPr>
      <t>t</t>
    </r>
    <r>
      <rPr>
        <b/>
        <i/>
        <vertAlign val="subscript"/>
        <sz val="11"/>
        <rFont val="Arial Narrow"/>
        <family val="2"/>
      </rPr>
      <t>m</t>
    </r>
    <r>
      <rPr>
        <b/>
        <sz val="11"/>
        <rFont val="Arial Narrow"/>
        <family val="2"/>
      </rPr>
      <t>)</t>
    </r>
  </si>
  <si>
    <r>
      <rPr>
        <b/>
        <sz val="11"/>
        <rFont val="Arial Narrow"/>
        <family val="2"/>
      </rPr>
      <t>Adjusted</t>
    </r>
    <r>
      <rPr>
        <b/>
        <vertAlign val="subscript"/>
        <sz val="11"/>
        <rFont val="Arial Narrow"/>
        <family val="2"/>
      </rPr>
      <t xml:space="preserve"> 5</t>
    </r>
    <r>
      <rPr>
        <b/>
        <i/>
        <sz val="11"/>
        <rFont val="Arial Narrow"/>
        <family val="2"/>
      </rPr>
      <t>D</t>
    </r>
    <r>
      <rPr>
        <b/>
        <i/>
        <vertAlign val="subscript"/>
        <sz val="11"/>
        <rFont val="Arial Narrow"/>
        <family val="2"/>
      </rPr>
      <t>x</t>
    </r>
  </si>
  <si>
    <r>
      <t xml:space="preserve">Adjusted </t>
    </r>
    <r>
      <rPr>
        <b/>
        <vertAlign val="subscript"/>
        <sz val="11"/>
        <rFont val="Arial Narrow"/>
        <family val="2"/>
      </rPr>
      <t>5</t>
    </r>
    <r>
      <rPr>
        <b/>
        <i/>
        <sz val="11"/>
        <rFont val="Arial Narrow"/>
        <family val="2"/>
      </rPr>
      <t>m</t>
    </r>
    <r>
      <rPr>
        <b/>
        <i/>
        <vertAlign val="subscript"/>
        <sz val="11"/>
        <rFont val="Arial Narrow"/>
        <family val="2"/>
      </rPr>
      <t>x</t>
    </r>
  </si>
  <si>
    <r>
      <rPr>
        <b/>
        <vertAlign val="subscript"/>
        <sz val="11"/>
        <rFont val="Arial Narrow"/>
        <family val="2"/>
      </rPr>
      <t>5</t>
    </r>
    <r>
      <rPr>
        <b/>
        <i/>
        <sz val="11"/>
        <rFont val="Arial Narrow"/>
        <family val="2"/>
      </rPr>
      <t>q</t>
    </r>
    <r>
      <rPr>
        <b/>
        <i/>
        <vertAlign val="subscript"/>
        <sz val="11"/>
        <rFont val="Arial Narrow"/>
        <family val="2"/>
      </rPr>
      <t>x</t>
    </r>
  </si>
  <si>
    <r>
      <rPr>
        <b/>
        <i/>
        <sz val="11"/>
        <rFont val="Arial Narrow"/>
        <family val="2"/>
      </rPr>
      <t>l</t>
    </r>
    <r>
      <rPr>
        <b/>
        <i/>
        <vertAlign val="subscript"/>
        <sz val="11"/>
        <rFont val="Arial Narrow"/>
        <family val="2"/>
      </rPr>
      <t>x</t>
    </r>
    <r>
      <rPr>
        <b/>
        <sz val="11"/>
        <rFont val="Arial Narrow"/>
        <family val="2"/>
      </rPr>
      <t>/</t>
    </r>
    <r>
      <rPr>
        <b/>
        <i/>
        <sz val="11"/>
        <rFont val="Arial Narrow"/>
        <family val="2"/>
      </rPr>
      <t>l</t>
    </r>
    <r>
      <rPr>
        <b/>
        <vertAlign val="subscript"/>
        <sz val="11"/>
        <rFont val="Arial Narrow"/>
        <family val="2"/>
      </rPr>
      <t>5</t>
    </r>
  </si>
  <si>
    <r>
      <t xml:space="preserve">Obs. </t>
    </r>
    <r>
      <rPr>
        <b/>
        <i/>
        <sz val="11"/>
        <rFont val="Arial Narrow"/>
        <family val="2"/>
      </rPr>
      <t>Y</t>
    </r>
    <r>
      <rPr>
        <b/>
        <sz val="11"/>
        <rFont val="Arial Narrow"/>
        <family val="2"/>
      </rPr>
      <t>(</t>
    </r>
    <r>
      <rPr>
        <b/>
        <i/>
        <sz val="11"/>
        <rFont val="Arial Narrow"/>
        <family val="2"/>
      </rPr>
      <t>x</t>
    </r>
    <r>
      <rPr>
        <b/>
        <sz val="11"/>
        <rFont val="Arial Narrow"/>
        <family val="2"/>
      </rPr>
      <t>)</t>
    </r>
  </si>
  <si>
    <r>
      <t xml:space="preserve">Cdn. </t>
    </r>
    <r>
      <rPr>
        <b/>
        <i/>
        <sz val="11"/>
        <rFont val="Arial Narrow"/>
        <family val="2"/>
      </rPr>
      <t>Ys</t>
    </r>
    <r>
      <rPr>
        <b/>
        <sz val="11"/>
        <rFont val="Arial Narrow"/>
        <family val="2"/>
      </rPr>
      <t>(</t>
    </r>
    <r>
      <rPr>
        <b/>
        <i/>
        <sz val="11"/>
        <rFont val="Arial Narrow"/>
        <family val="2"/>
      </rPr>
      <t>x</t>
    </r>
    <r>
      <rPr>
        <b/>
        <sz val="11"/>
        <rFont val="Arial Narrow"/>
        <family val="2"/>
      </rPr>
      <t>)</t>
    </r>
  </si>
  <si>
    <r>
      <t xml:space="preserve">Fitted </t>
    </r>
    <r>
      <rPr>
        <b/>
        <i/>
        <sz val="11"/>
        <rFont val="Arial Narrow"/>
        <family val="2"/>
      </rPr>
      <t>Y</t>
    </r>
    <r>
      <rPr>
        <b/>
        <sz val="11"/>
        <rFont val="Arial Narrow"/>
        <family val="2"/>
      </rPr>
      <t>(x)</t>
    </r>
  </si>
  <si>
    <r>
      <t xml:space="preserve">Fitted </t>
    </r>
    <r>
      <rPr>
        <b/>
        <i/>
        <sz val="11"/>
        <rFont val="Arial Narrow"/>
        <family val="2"/>
      </rPr>
      <t>l</t>
    </r>
    <r>
      <rPr>
        <b/>
        <sz val="11"/>
        <rFont val="Arial Narrow"/>
        <family val="2"/>
      </rPr>
      <t>(</t>
    </r>
    <r>
      <rPr>
        <b/>
        <i/>
        <sz val="11"/>
        <rFont val="Arial Narrow"/>
        <family val="2"/>
      </rPr>
      <t>x</t>
    </r>
    <r>
      <rPr>
        <b/>
        <sz val="11"/>
        <rFont val="Arial Narrow"/>
        <family val="2"/>
      </rPr>
      <t>)</t>
    </r>
  </si>
  <si>
    <r>
      <rPr>
        <b/>
        <i/>
        <sz val="11"/>
        <rFont val="Arial Narrow"/>
        <family val="2"/>
      </rPr>
      <t>T</t>
    </r>
    <r>
      <rPr>
        <b/>
        <sz val="11"/>
        <rFont val="Arial Narrow"/>
        <family val="2"/>
      </rPr>
      <t>(</t>
    </r>
    <r>
      <rPr>
        <b/>
        <i/>
        <sz val="11"/>
        <rFont val="Arial Narrow"/>
        <family val="2"/>
      </rPr>
      <t>x</t>
    </r>
    <r>
      <rPr>
        <b/>
        <sz val="11"/>
        <rFont val="Arial Narrow"/>
        <family val="2"/>
      </rPr>
      <t>)</t>
    </r>
  </si>
  <si>
    <r>
      <rPr>
        <b/>
        <i/>
        <sz val="11"/>
        <rFont val="Arial Narrow"/>
        <family val="2"/>
      </rPr>
      <t>e</t>
    </r>
    <r>
      <rPr>
        <b/>
        <sz val="11"/>
        <rFont val="Arial Narrow"/>
        <family val="2"/>
      </rPr>
      <t>(</t>
    </r>
    <r>
      <rPr>
        <b/>
        <i/>
        <sz val="11"/>
        <rFont val="Arial Narrow"/>
        <family val="2"/>
      </rPr>
      <t>x</t>
    </r>
    <r>
      <rPr>
        <b/>
        <sz val="11"/>
        <rFont val="Arial Narrow"/>
        <family val="2"/>
      </rPr>
      <t>)</t>
    </r>
  </si>
  <si>
    <r>
      <t xml:space="preserve">Smoothed </t>
    </r>
    <r>
      <rPr>
        <b/>
        <vertAlign val="subscript"/>
        <sz val="11"/>
        <rFont val="Arial Narrow"/>
        <family val="2"/>
      </rPr>
      <t>5</t>
    </r>
    <r>
      <rPr>
        <b/>
        <i/>
        <sz val="11"/>
        <rFont val="Arial Narrow"/>
        <family val="2"/>
      </rPr>
      <t>m</t>
    </r>
    <r>
      <rPr>
        <b/>
        <i/>
        <vertAlign val="subscript"/>
        <sz val="11"/>
        <rFont val="Arial Narrow"/>
        <family val="2"/>
      </rPr>
      <t>x</t>
    </r>
  </si>
  <si>
    <t>&lt;-- must be less than 75</t>
  </si>
  <si>
    <t/>
  </si>
  <si>
    <t xml:space="preserve">   65-69</t>
  </si>
  <si>
    <t xml:space="preserve">   70-74</t>
  </si>
  <si>
    <t xml:space="preserve"> 75+</t>
  </si>
  <si>
    <t>É MEDIA DO Y DE 5 ATE 69</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</si>
</sst>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164" formatCode="_ * #,##0.00_ ;_ * \-#,##0.00_ ;_ * &quot;-&quot;??_ ;_ @_ "/>
    <numFmt numFmtId="165" formatCode="0.00000"/>
    <numFmt numFmtId="166" formatCode="#,##0.0000_);\(#,##0.0000\)"/>
    <numFmt numFmtId="167" formatCode="0.00_)"/>
    <numFmt numFmtId="168" formatCode="0.0000_)"/>
    <numFmt numFmtId="169" formatCode="0_)"/>
    <numFmt numFmtId="170" formatCode="0.0%"/>
    <numFmt numFmtId="171" formatCode="_ * #,##0_ ;_ * \-#,##0_ ;_ * &quot;-&quot;??_ ;_ @_ "/>
    <numFmt numFmtId="172" formatCode="General_)"/>
    <numFmt numFmtId="173" formatCode="yyyy/mm/dd;@"/>
    <numFmt numFmtId="174" formatCode="0.000_)"/>
    <numFmt numFmtId="175" formatCode="0.0000"/>
    <numFmt numFmtId="176" formatCode="0.0_)"/>
  </numFmts>
  <fonts count="30">
    <font>
      <sz val="10"/>
      <name val="Arial"/>
    </font>
    <font>
      <sz val="11"/>
      <name val="Times New Roman"/>
      <family val="1"/>
    </font>
    <font>
      <sz val="11"/>
      <color indexed="12"/>
      <name val="Times New Roman"/>
      <family val="1"/>
    </font>
    <font>
      <sz val="10"/>
      <name val="Arial"/>
      <family val="2"/>
    </font>
    <font>
      <b/>
      <sz val="10"/>
      <name val="Arial"/>
      <family val="2"/>
    </font>
    <font>
      <sz val="10"/>
      <name val="Arial"/>
      <family val="2"/>
    </font>
    <font>
      <sz val="12"/>
      <name val="Arial Narrow"/>
      <family val="2"/>
    </font>
    <font>
      <sz val="12"/>
      <color indexed="10"/>
      <name val="Arial Narrow"/>
      <family val="2"/>
    </font>
    <font>
      <u/>
      <sz val="10"/>
      <color theme="10"/>
      <name val="Arial"/>
      <family val="2"/>
    </font>
    <font>
      <b/>
      <sz val="12"/>
      <name val="Arial"/>
      <family val="2"/>
    </font>
    <font>
      <sz val="12"/>
      <name val="Arial"/>
      <family val="2"/>
    </font>
    <font>
      <u/>
      <sz val="12"/>
      <color theme="10"/>
      <name val="Arial"/>
      <family val="2"/>
    </font>
    <font>
      <b/>
      <i/>
      <sz val="12"/>
      <name val="Arial"/>
      <family val="2"/>
    </font>
    <font>
      <sz val="10"/>
      <color theme="0" tint="-0.499984740745262"/>
      <name val="Arial"/>
      <family val="2"/>
    </font>
    <font>
      <b/>
      <sz val="10"/>
      <color theme="1"/>
      <name val="Arial"/>
      <family val="2"/>
    </font>
    <font>
      <sz val="12"/>
      <name val="Courier"/>
      <family val="3"/>
    </font>
    <font>
      <sz val="10"/>
      <name val="Courier"/>
      <family val="3"/>
    </font>
    <font>
      <sz val="11"/>
      <color indexed="8"/>
      <name val="Calibri"/>
      <family val="2"/>
    </font>
    <font>
      <sz val="8"/>
      <name val="SAS Monospace"/>
    </font>
    <font>
      <i/>
      <sz val="10"/>
      <name val="Arial"/>
      <family val="2"/>
    </font>
    <font>
      <b/>
      <sz val="11"/>
      <name val="Arial Narrow"/>
      <family val="2"/>
    </font>
    <font>
      <b/>
      <i/>
      <sz val="11"/>
      <name val="Arial Narrow"/>
      <family val="2"/>
    </font>
    <font>
      <b/>
      <vertAlign val="subscript"/>
      <sz val="11"/>
      <name val="Arial Narrow"/>
      <family val="2"/>
    </font>
    <font>
      <sz val="11"/>
      <name val="Arial Narrow"/>
      <family val="2"/>
    </font>
    <font>
      <sz val="11"/>
      <color theme="0" tint="-0.499984740745262"/>
      <name val="Arial Narrow"/>
      <family val="2"/>
    </font>
    <font>
      <sz val="11"/>
      <color indexed="12"/>
      <name val="Arial Narrow"/>
      <family val="2"/>
    </font>
    <font>
      <b/>
      <sz val="11"/>
      <color rgb="FFFF0000"/>
      <name val="Arial Narrow"/>
      <family val="2"/>
    </font>
    <font>
      <sz val="10"/>
      <color indexed="81"/>
      <name val="Arial"/>
      <family val="2"/>
    </font>
    <font>
      <b/>
      <i/>
      <vertAlign val="subscript"/>
      <sz val="11"/>
      <name val="Arial Narrow"/>
      <family val="2"/>
    </font>
    <font>
      <sz val="11"/>
      <color rgb="FFFF0000"/>
      <name val="Arial Narrow"/>
      <family val="2"/>
    </font>
  </fonts>
  <fills count="7">
    <fill>
      <patternFill patternType="none"/>
    </fill>
    <fill>
      <patternFill patternType="gray125"/>
    </fill>
    <fill>
      <patternFill patternType="solid">
        <fgColor rgb="FFFFEB9C"/>
        <bgColor indexed="64"/>
      </patternFill>
    </fill>
    <fill>
      <patternFill patternType="solid">
        <fgColor rgb="FFC6EFCE"/>
        <bgColor indexed="64"/>
      </patternFill>
    </fill>
    <fill>
      <patternFill patternType="solid">
        <fgColor theme="0"/>
        <bgColor indexed="64"/>
      </patternFill>
    </fill>
    <fill>
      <patternFill patternType="solid">
        <fgColor theme="6" tint="0.39994506668294322"/>
        <bgColor indexed="64"/>
      </patternFill>
    </fill>
    <fill>
      <patternFill patternType="solid">
        <fgColor rgb="FFFFEB9B"/>
        <bgColor indexed="64"/>
      </patternFill>
    </fill>
  </fills>
  <borders count="13">
    <border>
      <left/>
      <right/>
      <top/>
      <bottom/>
      <diagonal/>
    </border>
    <border>
      <left/>
      <right/>
      <top/>
      <bottom style="thin">
        <color indexed="64"/>
      </bottom>
      <diagonal/>
    </border>
    <border>
      <left/>
      <right/>
      <top style="thin">
        <color auto="1"/>
      </top>
      <bottom style="thin">
        <color auto="1"/>
      </bottom>
      <diagonal/>
    </border>
    <border>
      <left style="thin">
        <color theme="9" tint="-0.249977111117893"/>
      </left>
      <right/>
      <top/>
      <bottom/>
      <diagonal/>
    </border>
    <border>
      <left style="medium">
        <color indexed="64"/>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right style="medium">
        <color auto="1"/>
      </right>
      <top/>
      <bottom style="medium">
        <color auto="1"/>
      </bottom>
      <diagonal/>
    </border>
    <border>
      <left style="medium">
        <color auto="1"/>
      </left>
      <right/>
      <top/>
      <bottom style="medium">
        <color auto="1"/>
      </bottom>
      <diagonal/>
    </border>
    <border>
      <left/>
      <right/>
      <top style="thin">
        <color indexed="64"/>
      </top>
      <bottom/>
      <diagonal/>
    </border>
  </borders>
  <cellStyleXfs count="14">
    <xf numFmtId="0" fontId="0" fillId="0" borderId="0"/>
    <xf numFmtId="9" fontId="3" fillId="0" borderId="0" applyFont="0" applyFill="0" applyBorder="0" applyAlignment="0" applyProtection="0"/>
    <xf numFmtId="0" fontId="3" fillId="0" borderId="0"/>
    <xf numFmtId="0" fontId="3" fillId="0" borderId="0"/>
    <xf numFmtId="164" fontId="5" fillId="0" borderId="0" applyFont="0" applyFill="0" applyBorder="0" applyAlignment="0" applyProtection="0"/>
    <xf numFmtId="0" fontId="8" fillId="0" borderId="0" applyNumberFormat="0" applyFill="0" applyBorder="0" applyAlignment="0" applyProtection="0">
      <alignment vertical="top"/>
      <protection locked="0"/>
    </xf>
    <xf numFmtId="0" fontId="3" fillId="0" borderId="0"/>
    <xf numFmtId="172" fontId="15" fillId="0" borderId="0"/>
    <xf numFmtId="168" fontId="16" fillId="0" borderId="0"/>
    <xf numFmtId="164" fontId="17" fillId="0" borderId="0" applyFont="0" applyFill="0" applyBorder="0" applyAlignment="0" applyProtection="0"/>
    <xf numFmtId="0" fontId="18" fillId="0" borderId="0"/>
    <xf numFmtId="0" fontId="3" fillId="0" borderId="0"/>
    <xf numFmtId="0" fontId="3" fillId="0" borderId="0"/>
    <xf numFmtId="168" fontId="16" fillId="0" borderId="0"/>
  </cellStyleXfs>
  <cellXfs count="108">
    <xf numFmtId="0" fontId="0" fillId="0" borderId="0" xfId="0"/>
    <xf numFmtId="0" fontId="1" fillId="0" borderId="0" xfId="0" applyFont="1"/>
    <xf numFmtId="0" fontId="1" fillId="0" borderId="0" xfId="0" applyFont="1" applyBorder="1"/>
    <xf numFmtId="0" fontId="2" fillId="0" borderId="0" xfId="0" applyFont="1"/>
    <xf numFmtId="165" fontId="0" fillId="0" borderId="0" xfId="0" applyNumberFormat="1"/>
    <xf numFmtId="0" fontId="3" fillId="0" borderId="0" xfId="0" applyFont="1"/>
    <xf numFmtId="0" fontId="6" fillId="0" borderId="0" xfId="0" applyFont="1"/>
    <xf numFmtId="0" fontId="6" fillId="0" borderId="0" xfId="0" applyFont="1" applyAlignment="1">
      <alignment horizontal="center"/>
    </xf>
    <xf numFmtId="165" fontId="6" fillId="0" borderId="0" xfId="0" applyNumberFormat="1" applyFont="1"/>
    <xf numFmtId="0" fontId="7" fillId="0" borderId="0" xfId="0" applyFont="1"/>
    <xf numFmtId="165" fontId="3" fillId="0" borderId="0" xfId="0" applyNumberFormat="1" applyFont="1"/>
    <xf numFmtId="0" fontId="13" fillId="0" borderId="0" xfId="0" applyFont="1"/>
    <xf numFmtId="0" fontId="3" fillId="0" borderId="0" xfId="0" applyFont="1" applyAlignment="1">
      <alignment horizontal="center"/>
    </xf>
    <xf numFmtId="0" fontId="4" fillId="0" borderId="0" xfId="0" applyFont="1"/>
    <xf numFmtId="1" fontId="3" fillId="0" borderId="0" xfId="0" applyNumberFormat="1" applyFont="1"/>
    <xf numFmtId="0" fontId="14" fillId="0" borderId="0" xfId="0" applyFont="1" applyAlignment="1">
      <alignment horizontal="center"/>
    </xf>
    <xf numFmtId="3" fontId="3" fillId="0" borderId="0" xfId="0" applyNumberFormat="1" applyFont="1"/>
    <xf numFmtId="171" fontId="3" fillId="0" borderId="0" xfId="4" applyNumberFormat="1" applyFont="1"/>
    <xf numFmtId="168" fontId="3" fillId="0" borderId="0" xfId="0" applyNumberFormat="1" applyFont="1" applyProtection="1"/>
    <xf numFmtId="166" fontId="3" fillId="0" borderId="0" xfId="0" applyNumberFormat="1" applyFont="1" applyProtection="1"/>
    <xf numFmtId="172" fontId="10" fillId="0" borderId="0" xfId="7" applyFont="1"/>
    <xf numFmtId="1" fontId="3" fillId="4" borderId="0" xfId="7" applyNumberFormat="1" applyFont="1" applyFill="1" applyBorder="1" applyAlignment="1" applyProtection="1">
      <alignment horizontal="center"/>
      <protection hidden="1"/>
    </xf>
    <xf numFmtId="168" fontId="3" fillId="4" borderId="0" xfId="7" applyNumberFormat="1" applyFont="1" applyFill="1" applyBorder="1" applyProtection="1">
      <protection hidden="1"/>
    </xf>
    <xf numFmtId="168" fontId="3" fillId="4" borderId="12" xfId="7" applyNumberFormat="1" applyFont="1" applyFill="1" applyBorder="1" applyProtection="1">
      <protection hidden="1"/>
    </xf>
    <xf numFmtId="174" fontId="3" fillId="3" borderId="0" xfId="7" applyNumberFormat="1" applyFont="1" applyFill="1" applyAlignment="1" applyProtection="1">
      <alignment horizontal="right"/>
      <protection locked="0"/>
    </xf>
    <xf numFmtId="168" fontId="3" fillId="4" borderId="1" xfId="7" applyNumberFormat="1" applyFont="1" applyFill="1" applyBorder="1" applyProtection="1"/>
    <xf numFmtId="1" fontId="3" fillId="4" borderId="1" xfId="7" applyNumberFormat="1" applyFont="1" applyFill="1" applyBorder="1" applyAlignment="1" applyProtection="1">
      <alignment horizontal="center"/>
      <protection hidden="1"/>
    </xf>
    <xf numFmtId="168" fontId="3" fillId="4" borderId="1" xfId="7" applyNumberFormat="1" applyFont="1" applyFill="1" applyBorder="1" applyProtection="1">
      <protection hidden="1"/>
    </xf>
    <xf numFmtId="174" fontId="3" fillId="3" borderId="1" xfId="7" applyNumberFormat="1" applyFont="1" applyFill="1" applyBorder="1" applyAlignment="1" applyProtection="1">
      <alignment horizontal="right"/>
      <protection locked="0"/>
    </xf>
    <xf numFmtId="168" fontId="3" fillId="4" borderId="12" xfId="7" applyNumberFormat="1" applyFont="1" applyFill="1" applyBorder="1" applyProtection="1"/>
    <xf numFmtId="168" fontId="3" fillId="4" borderId="0" xfId="7" applyNumberFormat="1" applyFont="1" applyFill="1" applyBorder="1" applyProtection="1"/>
    <xf numFmtId="175" fontId="3" fillId="0" borderId="0" xfId="0" applyNumberFormat="1" applyFont="1"/>
    <xf numFmtId="9" fontId="4" fillId="6" borderId="0" xfId="1" applyFont="1" applyFill="1"/>
    <xf numFmtId="170" fontId="4" fillId="6" borderId="0" xfId="1" applyNumberFormat="1" applyFont="1" applyFill="1"/>
    <xf numFmtId="169" fontId="3" fillId="6" borderId="0" xfId="0" applyNumberFormat="1" applyFont="1" applyFill="1" applyProtection="1"/>
    <xf numFmtId="176" fontId="3" fillId="6" borderId="0" xfId="0" applyNumberFormat="1" applyFont="1" applyFill="1" applyProtection="1"/>
    <xf numFmtId="175" fontId="3" fillId="6" borderId="0" xfId="0" applyNumberFormat="1" applyFont="1" applyFill="1"/>
    <xf numFmtId="174" fontId="3" fillId="0" borderId="0" xfId="0" applyNumberFormat="1" applyFont="1" applyProtection="1"/>
    <xf numFmtId="168" fontId="3" fillId="6" borderId="0" xfId="0" applyNumberFormat="1" applyFont="1" applyFill="1" applyProtection="1"/>
    <xf numFmtId="0" fontId="10" fillId="3" borderId="8" xfId="0" applyFont="1" applyFill="1" applyBorder="1" applyAlignment="1" applyProtection="1">
      <alignment horizontal="center"/>
      <protection locked="0"/>
    </xf>
    <xf numFmtId="0" fontId="10" fillId="3" borderId="9" xfId="0" applyFont="1" applyFill="1" applyBorder="1" applyAlignment="1" applyProtection="1">
      <alignment horizontal="center"/>
      <protection locked="0"/>
    </xf>
    <xf numFmtId="173" fontId="10" fillId="3" borderId="9" xfId="0" applyNumberFormat="1" applyFont="1" applyFill="1" applyBorder="1" applyAlignment="1" applyProtection="1">
      <alignment horizontal="center"/>
      <protection locked="0"/>
    </xf>
    <xf numFmtId="173" fontId="10" fillId="3" borderId="10" xfId="0" applyNumberFormat="1" applyFont="1" applyFill="1" applyBorder="1" applyAlignment="1" applyProtection="1">
      <alignment horizontal="center"/>
      <protection locked="0"/>
    </xf>
    <xf numFmtId="0" fontId="6" fillId="0" borderId="0" xfId="3" applyFont="1" applyProtection="1"/>
    <xf numFmtId="0" fontId="10" fillId="0" borderId="0" xfId="3" applyFont="1" applyProtection="1"/>
    <xf numFmtId="0" fontId="10" fillId="0" borderId="0" xfId="3" applyFont="1" applyAlignment="1" applyProtection="1">
      <alignment wrapText="1"/>
    </xf>
    <xf numFmtId="0" fontId="9" fillId="0" borderId="0" xfId="3" applyFont="1" applyProtection="1"/>
    <xf numFmtId="0" fontId="10" fillId="0" borderId="0" xfId="3" applyFont="1" applyAlignment="1" applyProtection="1">
      <alignment vertical="top"/>
    </xf>
    <xf numFmtId="0" fontId="10" fillId="0" borderId="0" xfId="0" applyFont="1" applyAlignment="1" applyProtection="1">
      <alignment wrapText="1"/>
    </xf>
    <xf numFmtId="0" fontId="10" fillId="0" borderId="0" xfId="3" applyFont="1" applyAlignment="1" applyProtection="1">
      <alignment vertical="top" wrapText="1"/>
    </xf>
    <xf numFmtId="0" fontId="10" fillId="0" borderId="7" xfId="0" applyFont="1" applyFill="1" applyBorder="1" applyProtection="1"/>
    <xf numFmtId="0" fontId="10" fillId="0" borderId="4" xfId="0" applyFont="1" applyFill="1" applyBorder="1" applyProtection="1"/>
    <xf numFmtId="0" fontId="6" fillId="0" borderId="4" xfId="3" applyFont="1" applyBorder="1" applyProtection="1"/>
    <xf numFmtId="0" fontId="6" fillId="0" borderId="11" xfId="3" applyFont="1" applyBorder="1" applyProtection="1"/>
    <xf numFmtId="172" fontId="20" fillId="0" borderId="0" xfId="7" applyFont="1"/>
    <xf numFmtId="172" fontId="23" fillId="0" borderId="0" xfId="7" applyFont="1"/>
    <xf numFmtId="172" fontId="20" fillId="0" borderId="0" xfId="7" applyFont="1" applyAlignment="1">
      <alignment horizontal="center"/>
    </xf>
    <xf numFmtId="172" fontId="20" fillId="4" borderId="2" xfId="7" applyFont="1" applyFill="1" applyBorder="1" applyAlignment="1" applyProtection="1">
      <alignment horizontal="center"/>
      <protection hidden="1"/>
    </xf>
    <xf numFmtId="172" fontId="20" fillId="4" borderId="2" xfId="7" applyFont="1" applyFill="1" applyBorder="1" applyAlignment="1" applyProtection="1">
      <alignment horizontal="center" wrapText="1"/>
      <protection hidden="1"/>
    </xf>
    <xf numFmtId="172" fontId="20" fillId="4" borderId="12" xfId="7" applyFont="1" applyFill="1" applyBorder="1"/>
    <xf numFmtId="172" fontId="20" fillId="4" borderId="12" xfId="7" applyFont="1" applyFill="1" applyBorder="1" applyAlignment="1">
      <alignment horizontal="center"/>
    </xf>
    <xf numFmtId="172" fontId="20" fillId="4" borderId="0" xfId="7" applyFont="1" applyFill="1" applyBorder="1" applyAlignment="1" applyProtection="1">
      <alignment horizontal="center"/>
    </xf>
    <xf numFmtId="172" fontId="20" fillId="4" borderId="0" xfId="7" applyFont="1" applyFill="1" applyBorder="1" applyAlignment="1">
      <alignment horizontal="center"/>
    </xf>
    <xf numFmtId="168" fontId="20" fillId="4" borderId="0" xfId="7" applyNumberFormat="1" applyFont="1" applyFill="1" applyBorder="1" applyAlignment="1" applyProtection="1">
      <alignment horizontal="center"/>
    </xf>
    <xf numFmtId="172" fontId="20" fillId="0" borderId="0" xfId="7" applyFont="1" applyAlignment="1" applyProtection="1">
      <alignment horizontal="left"/>
    </xf>
    <xf numFmtId="165" fontId="23" fillId="0" borderId="0" xfId="7" applyNumberFormat="1" applyFont="1"/>
    <xf numFmtId="172" fontId="23" fillId="4" borderId="1" xfId="7" applyFont="1" applyFill="1" applyBorder="1"/>
    <xf numFmtId="0" fontId="23" fillId="0" borderId="0" xfId="0" applyFont="1"/>
    <xf numFmtId="37" fontId="23" fillId="0" borderId="0" xfId="0" applyNumberFormat="1" applyFont="1" applyProtection="1">
      <protection locked="0"/>
    </xf>
    <xf numFmtId="0" fontId="20" fillId="0" borderId="0" xfId="0" applyFont="1"/>
    <xf numFmtId="0" fontId="24" fillId="0" borderId="0" xfId="0" applyFont="1"/>
    <xf numFmtId="37" fontId="25" fillId="0" borderId="0" xfId="0" applyNumberFormat="1" applyFont="1" applyProtection="1">
      <protection locked="0"/>
    </xf>
    <xf numFmtId="0" fontId="23" fillId="5" borderId="0" xfId="0" applyFont="1" applyFill="1"/>
    <xf numFmtId="0" fontId="26" fillId="0" borderId="0" xfId="0" applyFont="1"/>
    <xf numFmtId="0" fontId="23" fillId="0" borderId="0" xfId="0" applyFont="1" applyAlignment="1">
      <alignment horizontal="right"/>
    </xf>
    <xf numFmtId="2" fontId="23" fillId="0" borderId="0" xfId="0" applyNumberFormat="1" applyFont="1" applyAlignment="1">
      <alignment horizontal="left"/>
    </xf>
    <xf numFmtId="0" fontId="23" fillId="0" borderId="0" xfId="0" applyFont="1" applyAlignment="1">
      <alignment horizontal="left"/>
    </xf>
    <xf numFmtId="0" fontId="26" fillId="0" borderId="0" xfId="0" applyFont="1" applyAlignment="1">
      <alignment horizontal="left"/>
    </xf>
    <xf numFmtId="3" fontId="3" fillId="3" borderId="0" xfId="7" applyNumberFormat="1" applyFont="1" applyFill="1" applyAlignment="1" applyProtection="1">
      <alignment horizontal="right"/>
      <protection locked="0"/>
    </xf>
    <xf numFmtId="1" fontId="21" fillId="0" borderId="2" xfId="0" applyNumberFormat="1" applyFont="1" applyBorder="1" applyAlignment="1" applyProtection="1">
      <alignment horizontal="center"/>
    </xf>
    <xf numFmtId="1" fontId="22" fillId="0" borderId="2" xfId="0" applyNumberFormat="1" applyFont="1" applyBorder="1" applyAlignment="1" applyProtection="1">
      <alignment horizontal="center"/>
    </xf>
    <xf numFmtId="0" fontId="21" fillId="0" borderId="2" xfId="0" applyFont="1" applyBorder="1" applyAlignment="1">
      <alignment horizontal="center"/>
    </xf>
    <xf numFmtId="0" fontId="21" fillId="0" borderId="2" xfId="0" quotePrefix="1" applyFont="1" applyBorder="1" applyAlignment="1">
      <alignment horizontal="center" wrapText="1"/>
    </xf>
    <xf numFmtId="0" fontId="21" fillId="0" borderId="2" xfId="0" applyFont="1" applyBorder="1" applyAlignment="1">
      <alignment horizontal="center" vertical="center" wrapText="1"/>
    </xf>
    <xf numFmtId="0" fontId="23" fillId="0" borderId="0" xfId="0" applyFont="1" applyBorder="1"/>
    <xf numFmtId="0" fontId="29" fillId="0" borderId="0" xfId="0" applyFont="1"/>
    <xf numFmtId="166" fontId="23" fillId="0" borderId="0" xfId="0" applyNumberFormat="1" applyFont="1" applyAlignment="1" applyProtection="1">
      <alignment horizontal="left"/>
    </xf>
    <xf numFmtId="168" fontId="23" fillId="0" borderId="0" xfId="0" applyNumberFormat="1" applyFont="1" applyProtection="1"/>
    <xf numFmtId="168" fontId="29" fillId="0" borderId="0" xfId="0" applyNumberFormat="1" applyFont="1"/>
    <xf numFmtId="1" fontId="22" fillId="0" borderId="2" xfId="0" applyNumberFormat="1" applyFont="1" applyBorder="1" applyAlignment="1" applyProtection="1">
      <alignment horizontal="center" wrapText="1"/>
    </xf>
    <xf numFmtId="0" fontId="20" fillId="0" borderId="2" xfId="0" applyFont="1" applyBorder="1" applyAlignment="1">
      <alignment horizontal="center" wrapText="1"/>
    </xf>
    <xf numFmtId="0" fontId="20" fillId="0" borderId="2" xfId="0" applyFont="1" applyBorder="1" applyAlignment="1">
      <alignment horizontal="center"/>
    </xf>
    <xf numFmtId="166" fontId="20" fillId="0" borderId="2" xfId="0" applyNumberFormat="1" applyFont="1" applyBorder="1" applyAlignment="1" applyProtection="1">
      <alignment horizontal="center"/>
    </xf>
    <xf numFmtId="166" fontId="20" fillId="0" borderId="2" xfId="0" applyNumberFormat="1" applyFont="1" applyBorder="1" applyAlignment="1" applyProtection="1">
      <alignment horizontal="center" wrapText="1"/>
    </xf>
    <xf numFmtId="0" fontId="20" fillId="0" borderId="2" xfId="0" applyFont="1" applyBorder="1" applyAlignment="1" applyProtection="1">
      <alignment horizontal="center"/>
    </xf>
    <xf numFmtId="169" fontId="20" fillId="0" borderId="2" xfId="0" applyNumberFormat="1" applyFont="1" applyBorder="1" applyAlignment="1" applyProtection="1">
      <alignment horizontal="center"/>
    </xf>
    <xf numFmtId="167" fontId="20" fillId="0" borderId="2" xfId="0" applyNumberFormat="1" applyFont="1" applyBorder="1" applyAlignment="1" applyProtection="1">
      <alignment horizontal="center"/>
    </xf>
    <xf numFmtId="167" fontId="20" fillId="0" borderId="2" xfId="0" applyNumberFormat="1" applyFont="1" applyBorder="1" applyAlignment="1" applyProtection="1">
      <alignment horizontal="center" wrapText="1"/>
    </xf>
    <xf numFmtId="0" fontId="9" fillId="2" borderId="3" xfId="6" applyFont="1" applyFill="1" applyBorder="1" applyAlignment="1" applyProtection="1">
      <alignment horizontal="center"/>
    </xf>
    <xf numFmtId="0" fontId="10" fillId="0" borderId="0" xfId="3" applyFont="1" applyProtection="1"/>
    <xf numFmtId="0" fontId="10" fillId="0" borderId="0" xfId="6" applyFont="1" applyFill="1" applyAlignment="1" applyProtection="1">
      <alignment horizontal="left"/>
    </xf>
    <xf numFmtId="172" fontId="11" fillId="0" borderId="4" xfId="5" applyNumberFormat="1" applyFont="1" applyFill="1" applyBorder="1" applyAlignment="1" applyProtection="1">
      <alignment horizontal="left"/>
      <protection locked="0"/>
    </xf>
    <xf numFmtId="172" fontId="11" fillId="0" borderId="0" xfId="5" applyNumberFormat="1" applyFont="1" applyFill="1" applyBorder="1" applyAlignment="1" applyProtection="1">
      <alignment horizontal="left"/>
      <protection locked="0"/>
    </xf>
    <xf numFmtId="0" fontId="10" fillId="0" borderId="0" xfId="3" applyFont="1" applyAlignment="1" applyProtection="1">
      <alignment horizontal="left" vertical="top" wrapText="1"/>
    </xf>
    <xf numFmtId="0" fontId="9" fillId="0" borderId="5" xfId="0" applyFont="1" applyBorder="1" applyAlignment="1" applyProtection="1">
      <alignment horizontal="center"/>
    </xf>
    <xf numFmtId="0" fontId="9" fillId="0" borderId="6" xfId="0" applyFont="1" applyBorder="1" applyAlignment="1" applyProtection="1">
      <alignment horizontal="center"/>
    </xf>
    <xf numFmtId="0" fontId="0" fillId="0" borderId="0" xfId="0" applyAlignment="1">
      <alignment horizontal="left"/>
    </xf>
    <xf numFmtId="0" fontId="4" fillId="0" borderId="0" xfId="0" applyFont="1" applyAlignment="1">
      <alignment horizontal="center"/>
    </xf>
  </cellXfs>
  <cellStyles count="14">
    <cellStyle name="Comma 3" xfId="9"/>
    <cellStyle name="Hiperlink" xfId="5" builtinId="8"/>
    <cellStyle name="Normal" xfId="0" builtinId="0"/>
    <cellStyle name="Normal 2" xfId="3"/>
    <cellStyle name="Normal 2 2" xfId="2"/>
    <cellStyle name="Normal 2 3" xfId="10"/>
    <cellStyle name="Normal 2 4" xfId="8"/>
    <cellStyle name="Normal 3" xfId="7"/>
    <cellStyle name="Normal 3 2" xfId="11"/>
    <cellStyle name="Normal 3 2 2" xfId="6"/>
    <cellStyle name="Normal 3 3" xfId="12"/>
    <cellStyle name="Normal 4" xfId="13"/>
    <cellStyle name="Porcentagem" xfId="1" builtinId="5"/>
    <cellStyle name="Vírgula" xfId="4" builtinId="3"/>
  </cellStyles>
  <dxfs count="0"/>
  <tableStyles count="0" defaultTableStyle="TableStyleMedium9" defaultPivotStyle="PivotStyleLight16"/>
  <colors>
    <mruColors>
      <color rgb="FFFF00FF"/>
      <color rgb="FFFFEB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906345948233251"/>
          <c:y val="8.7542375389230195E-2"/>
          <c:w val="0.74238960771645368"/>
          <c:h val="0.64309975766703587"/>
        </c:manualLayout>
      </c:layout>
      <c:scatterChart>
        <c:scatterStyle val="lineMarker"/>
        <c:varyColors val="0"/>
        <c:ser>
          <c:idx val="0"/>
          <c:order val="0"/>
          <c:tx>
            <c:v>Obs</c:v>
          </c:tx>
          <c:spPr>
            <a:ln w="28575">
              <a:noFill/>
            </a:ln>
          </c:spPr>
          <c:marker>
            <c:symbol val="diamond"/>
            <c:size val="5"/>
            <c:spPr>
              <a:solidFill>
                <a:srgbClr val="000080"/>
              </a:solidFill>
              <a:ln>
                <a:solidFill>
                  <a:srgbClr val="000080"/>
                </a:solidFill>
                <a:prstDash val="solid"/>
              </a:ln>
            </c:spPr>
          </c:marker>
          <c:xVal>
            <c:numRef>
              <c:f>Method!$J$7:$J$23</c:f>
              <c:numCache>
                <c:formatCode>0.00000</c:formatCode>
                <c:ptCount val="17"/>
                <c:pt idx="0">
                  <c:v>0</c:v>
                </c:pt>
                <c:pt idx="1">
                  <c:v>6.3603367026233678E-3</c:v>
                </c:pt>
                <c:pt idx="2">
                  <c:v>7.0499925281344474E-3</c:v>
                </c:pt>
                <c:pt idx="3">
                  <c:v>8.216359981787694E-3</c:v>
                </c:pt>
                <c:pt idx="4">
                  <c:v>9.4952229941278436E-3</c:v>
                </c:pt>
                <c:pt idx="5">
                  <c:v>1.112766725743055E-2</c:v>
                </c:pt>
                <c:pt idx="6">
                  <c:v>1.3047188742154645E-2</c:v>
                </c:pt>
                <c:pt idx="7">
                  <c:v>1.528378689741686E-2</c:v>
                </c:pt>
                <c:pt idx="8">
                  <c:v>1.848032994923858E-2</c:v>
                </c:pt>
                <c:pt idx="9">
                  <c:v>2.2391982914407756E-2</c:v>
                </c:pt>
                <c:pt idx="10">
                  <c:v>2.7359700890729814E-2</c:v>
                </c:pt>
                <c:pt idx="11">
                  <c:v>3.42267535203346E-2</c:v>
                </c:pt>
                <c:pt idx="12">
                  <c:v>4.1320583513645565E-2</c:v>
                </c:pt>
                <c:pt idx="13">
                  <c:v>5.4600821490958878E-2</c:v>
                </c:pt>
                <c:pt idx="14">
                  <c:v>6.803416307759691E-2</c:v>
                </c:pt>
                <c:pt idx="15">
                  <c:v>#N/A</c:v>
                </c:pt>
                <c:pt idx="16">
                  <c:v>#N/A</c:v>
                </c:pt>
              </c:numCache>
            </c:numRef>
          </c:xVal>
          <c:yVal>
            <c:numRef>
              <c:f>Method!$K$7:$K$23</c:f>
              <c:numCache>
                <c:formatCode>0.00000</c:formatCode>
                <c:ptCount val="17"/>
                <c:pt idx="1">
                  <c:v>3.8071342330352753E-2</c:v>
                </c:pt>
                <c:pt idx="2">
                  <c:v>3.877622632062247E-2</c:v>
                </c:pt>
                <c:pt idx="3">
                  <c:v>3.7963074813602615E-2</c:v>
                </c:pt>
                <c:pt idx="4">
                  <c:v>4.0018375895116927E-2</c:v>
                </c:pt>
                <c:pt idx="5">
                  <c:v>4.2333399818322834E-2</c:v>
                </c:pt>
                <c:pt idx="6">
                  <c:v>4.3259562793828088E-2</c:v>
                </c:pt>
                <c:pt idx="7">
                  <c:v>4.8184667991771471E-2</c:v>
                </c:pt>
                <c:pt idx="8">
                  <c:v>5.3804366703696746E-2</c:v>
                </c:pt>
                <c:pt idx="9">
                  <c:v>5.6178001450635937E-2</c:v>
                </c:pt>
                <c:pt idx="10">
                  <c:v>6.1933815489709124E-2</c:v>
                </c:pt>
                <c:pt idx="11">
                  <c:v>6.4996907425326697E-2</c:v>
                </c:pt>
                <c:pt idx="12">
                  <c:v>7.7251586376202053E-2</c:v>
                </c:pt>
                <c:pt idx="13">
                  <c:v>9.8812299468722803E-2</c:v>
                </c:pt>
                <c:pt idx="14">
                  <c:v>#N/A</c:v>
                </c:pt>
                <c:pt idx="15">
                  <c:v>0</c:v>
                </c:pt>
                <c:pt idx="16">
                  <c:v>0</c:v>
                </c:pt>
              </c:numCache>
            </c:numRef>
          </c:yVal>
          <c:smooth val="0"/>
        </c:ser>
        <c:ser>
          <c:idx val="1"/>
          <c:order val="1"/>
          <c:tx>
            <c:v>Fitted</c:v>
          </c:tx>
          <c:spPr>
            <a:ln w="12700">
              <a:solidFill>
                <a:srgbClr val="FF00FF"/>
              </a:solidFill>
              <a:prstDash val="solid"/>
            </a:ln>
          </c:spPr>
          <c:marker>
            <c:symbol val="none"/>
          </c:marker>
          <c:xVal>
            <c:numRef>
              <c:f>Method!$J$7:$J$23</c:f>
              <c:numCache>
                <c:formatCode>0.00000</c:formatCode>
                <c:ptCount val="17"/>
                <c:pt idx="0">
                  <c:v>0</c:v>
                </c:pt>
                <c:pt idx="1">
                  <c:v>6.3603367026233678E-3</c:v>
                </c:pt>
                <c:pt idx="2">
                  <c:v>7.0499925281344474E-3</c:v>
                </c:pt>
                <c:pt idx="3">
                  <c:v>8.216359981787694E-3</c:v>
                </c:pt>
                <c:pt idx="4">
                  <c:v>9.4952229941278436E-3</c:v>
                </c:pt>
                <c:pt idx="5">
                  <c:v>1.112766725743055E-2</c:v>
                </c:pt>
                <c:pt idx="6">
                  <c:v>1.3047188742154645E-2</c:v>
                </c:pt>
                <c:pt idx="7">
                  <c:v>1.528378689741686E-2</c:v>
                </c:pt>
                <c:pt idx="8">
                  <c:v>1.848032994923858E-2</c:v>
                </c:pt>
                <c:pt idx="9">
                  <c:v>2.2391982914407756E-2</c:v>
                </c:pt>
                <c:pt idx="10">
                  <c:v>2.7359700890729814E-2</c:v>
                </c:pt>
                <c:pt idx="11">
                  <c:v>3.42267535203346E-2</c:v>
                </c:pt>
                <c:pt idx="12">
                  <c:v>4.1320583513645565E-2</c:v>
                </c:pt>
                <c:pt idx="13">
                  <c:v>5.4600821490958878E-2</c:v>
                </c:pt>
                <c:pt idx="14">
                  <c:v>6.803416307759691E-2</c:v>
                </c:pt>
                <c:pt idx="15">
                  <c:v>#N/A</c:v>
                </c:pt>
                <c:pt idx="16">
                  <c:v>#N/A</c:v>
                </c:pt>
              </c:numCache>
            </c:numRef>
          </c:xVal>
          <c:yVal>
            <c:numRef>
              <c:f>Method!$L$7:$L$23</c:f>
              <c:numCache>
                <c:formatCode>0.00000</c:formatCode>
                <c:ptCount val="17"/>
                <c:pt idx="0">
                  <c:v>2.8733201252595309E-2</c:v>
                </c:pt>
                <c:pt idx="1">
                  <c:v>3.6490918387187848E-2</c:v>
                </c:pt>
                <c:pt idx="2">
                  <c:v>3.7332093165298598E-2</c:v>
                </c:pt>
                <c:pt idx="3">
                  <c:v>3.8754714199921624E-2</c:v>
                </c:pt>
                <c:pt idx="4">
                  <c:v>4.0314546323201479E-2</c:v>
                </c:pt>
                <c:pt idx="5">
                  <c:v>4.2305642302046018E-2</c:v>
                </c:pt>
                <c:pt idx="6">
                  <c:v>4.4646887020446016E-2</c:v>
                </c:pt>
                <c:pt idx="7">
                  <c:v>4.7374870874684311E-2</c:v>
                </c:pt>
                <c:pt idx="8">
                  <c:v>5.1273701701415861E-2</c:v>
                </c:pt>
                <c:pt idx="9">
                  <c:v>5.6044753715054754E-2</c:v>
                </c:pt>
                <c:pt idx="10">
                  <c:v>6.2103890623458002E-2</c:v>
                </c:pt>
                <c:pt idx="11">
                  <c:v>7.0479650326063223E-2</c:v>
                </c:pt>
                <c:pt idx="12">
                  <c:v>7.9132010894694224E-2</c:v>
                </c:pt>
                <c:pt idx="13">
                  <c:v>9.5329947344438615E-2</c:v>
                </c:pt>
                <c:pt idx="14">
                  <c:v>#N/A</c:v>
                </c:pt>
                <c:pt idx="15">
                  <c:v>#N/A</c:v>
                </c:pt>
                <c:pt idx="16">
                  <c:v>#N/A</c:v>
                </c:pt>
              </c:numCache>
            </c:numRef>
          </c:yVal>
          <c:smooth val="0"/>
        </c:ser>
        <c:dLbls>
          <c:showLegendKey val="0"/>
          <c:showVal val="0"/>
          <c:showCatName val="0"/>
          <c:showSerName val="0"/>
          <c:showPercent val="0"/>
          <c:showBubbleSize val="0"/>
        </c:dLbls>
        <c:axId val="583909024"/>
        <c:axId val="583909568"/>
      </c:scatterChart>
      <c:valAx>
        <c:axId val="583909024"/>
        <c:scaling>
          <c:orientation val="minMax"/>
        </c:scaling>
        <c:delete val="0"/>
        <c:axPos val="b"/>
        <c:title>
          <c:tx>
            <c:rich>
              <a:bodyPr/>
              <a:lstStyle/>
              <a:p>
                <a:pPr>
                  <a:defRPr sz="875" b="1" i="0" u="none" strike="noStrike" baseline="0">
                    <a:solidFill>
                      <a:srgbClr val="000000"/>
                    </a:solidFill>
                    <a:latin typeface="Arial"/>
                    <a:ea typeface="Arial"/>
                    <a:cs typeface="Arial"/>
                  </a:defRPr>
                </a:pPr>
                <a:r>
                  <a:rPr lang="en-ZA"/>
                  <a:t>d(x+)</a:t>
                </a:r>
              </a:p>
            </c:rich>
          </c:tx>
          <c:layout>
            <c:manualLayout>
              <c:xMode val="edge"/>
              <c:yMode val="edge"/>
              <c:x val="0.53161635874483637"/>
              <c:y val="0.83856820600127691"/>
            </c:manualLayout>
          </c:layout>
          <c:overlay val="0"/>
          <c:spPr>
            <a:noFill/>
            <a:ln w="25400">
              <a:noFill/>
            </a:ln>
          </c:spPr>
        </c:title>
        <c:numFmt formatCode="0.000" sourceLinked="0"/>
        <c:majorTickMark val="out"/>
        <c:minorTickMark val="none"/>
        <c:tickLblPos val="nextTo"/>
        <c:spPr>
          <a:ln w="3175">
            <a:solidFill>
              <a:srgbClr val="000000"/>
            </a:solidFill>
            <a:prstDash val="solid"/>
          </a:ln>
        </c:spPr>
        <c:txPr>
          <a:bodyPr rot="-5400000" vert="horz"/>
          <a:lstStyle/>
          <a:p>
            <a:pPr>
              <a:defRPr sz="875" b="0" i="0" u="none" strike="noStrike" baseline="0">
                <a:solidFill>
                  <a:srgbClr val="000000"/>
                </a:solidFill>
                <a:latin typeface="Arial"/>
                <a:ea typeface="Arial"/>
                <a:cs typeface="Arial"/>
              </a:defRPr>
            </a:pPr>
            <a:endParaRPr lang="pt-BR"/>
          </a:p>
        </c:txPr>
        <c:crossAx val="583909568"/>
        <c:crosses val="autoZero"/>
        <c:crossBetween val="midCat"/>
      </c:valAx>
      <c:valAx>
        <c:axId val="583909568"/>
        <c:scaling>
          <c:orientation val="minMax"/>
        </c:scaling>
        <c:delete val="0"/>
        <c:axPos val="l"/>
        <c:majorGridlines>
          <c:spPr>
            <a:ln w="3175">
              <a:solidFill>
                <a:srgbClr val="000000"/>
              </a:solidFill>
              <a:prstDash val="solid"/>
            </a:ln>
          </c:spPr>
        </c:majorGridlines>
        <c:title>
          <c:tx>
            <c:rich>
              <a:bodyPr/>
              <a:lstStyle/>
              <a:p>
                <a:pPr>
                  <a:defRPr sz="875" b="1" i="0" u="none" strike="noStrike" baseline="0">
                    <a:solidFill>
                      <a:srgbClr val="000000"/>
                    </a:solidFill>
                    <a:latin typeface="Arial"/>
                    <a:ea typeface="Arial"/>
                    <a:cs typeface="Arial"/>
                  </a:defRPr>
                </a:pPr>
                <a:r>
                  <a:rPr lang="en-ZA"/>
                  <a:t>b(x+)</a:t>
                </a:r>
              </a:p>
            </c:rich>
          </c:tx>
          <c:layout>
            <c:manualLayout>
              <c:xMode val="edge"/>
              <c:yMode val="edge"/>
              <c:x val="3.7470725995316242E-2"/>
              <c:y val="0.29966436013680464"/>
            </c:manualLayout>
          </c:layout>
          <c:overlay val="0"/>
          <c:spPr>
            <a:noFill/>
            <a:ln w="25400">
              <a:noFill/>
            </a:ln>
          </c:spPr>
        </c:title>
        <c:numFmt formatCode="0.000" sourceLinked="0"/>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pt-BR"/>
          </a:p>
        </c:txPr>
        <c:crossAx val="583909024"/>
        <c:crosses val="autoZero"/>
        <c:crossBetween val="midCat"/>
      </c:valAx>
      <c:spPr>
        <a:noFill/>
        <a:ln w="12700">
          <a:solidFill>
            <a:srgbClr val="808080"/>
          </a:solidFill>
          <a:prstDash val="solid"/>
        </a:ln>
      </c:spPr>
    </c:plotArea>
    <c:legend>
      <c:legendPos val="b"/>
      <c:layout>
        <c:manualLayout>
          <c:xMode val="edge"/>
          <c:yMode val="edge"/>
          <c:x val="0.41686231843970595"/>
          <c:y val="0.89899272691923549"/>
          <c:w val="0.30444989458285343"/>
          <c:h val="7.7441430932245328E-2"/>
        </c:manualLayout>
      </c:layout>
      <c:overlay val="0"/>
      <c:spPr>
        <a:solidFill>
          <a:srgbClr val="FFFFFF"/>
        </a:solidFill>
        <a:ln w="3175">
          <a:solidFill>
            <a:srgbClr val="000000"/>
          </a:solidFill>
          <a:prstDash val="solid"/>
        </a:ln>
      </c:spPr>
      <c:txPr>
        <a:bodyPr/>
        <a:lstStyle/>
        <a:p>
          <a:pPr>
            <a:defRPr sz="680" b="0" i="0" u="none" strike="noStrike" baseline="0">
              <a:solidFill>
                <a:srgbClr val="000000"/>
              </a:solidFill>
              <a:latin typeface="Arial"/>
              <a:ea typeface="Arial"/>
              <a:cs typeface="Arial"/>
            </a:defRPr>
          </a:pPr>
          <a:endParaRPr lang="pt-BR"/>
        </a:p>
      </c:txPr>
    </c:legend>
    <c:plotVisOnly val="1"/>
    <c:dispBlanksAs val="gap"/>
    <c:showDLblsOverMax val="0"/>
  </c:chart>
  <c:spPr>
    <a:solidFill>
      <a:srgbClr val="FFFFFF"/>
    </a:solidFill>
    <a:ln w="3175">
      <a:solidFill>
        <a:srgbClr val="000000"/>
      </a:solidFill>
      <a:prstDash val="solid"/>
    </a:ln>
  </c:spPr>
  <c:txPr>
    <a:bodyPr/>
    <a:lstStyle/>
    <a:p>
      <a:pPr>
        <a:defRPr sz="875" b="0" i="0" u="none" strike="noStrike" baseline="0">
          <a:solidFill>
            <a:srgbClr val="000000"/>
          </a:solidFill>
          <a:latin typeface="Arial"/>
          <a:ea typeface="Arial"/>
          <a:cs typeface="Arial"/>
        </a:defRPr>
      </a:pPr>
      <a:endParaRPr lang="pt-BR"/>
    </a:p>
  </c:txPr>
  <c:printSettings>
    <c:headerFooter alignWithMargins="0"/>
    <c:pageMargins b="1" l="0.75000000000000488" r="0.75000000000000488"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3023304645058535"/>
          <c:y val="3.6666666666666681E-2"/>
        </c:manualLayout>
      </c:layout>
      <c:overlay val="0"/>
      <c:spPr>
        <a:noFill/>
        <a:ln w="25400">
          <a:noFill/>
        </a:ln>
      </c:spPr>
      <c:txPr>
        <a:bodyPr/>
        <a:lstStyle/>
        <a:p>
          <a:pPr>
            <a:defRPr sz="875" b="0" i="0" u="none" strike="noStrike" baseline="0">
              <a:solidFill>
                <a:srgbClr val="000000"/>
              </a:solidFill>
              <a:latin typeface="Arial"/>
              <a:ea typeface="Arial"/>
              <a:cs typeface="Arial"/>
            </a:defRPr>
          </a:pPr>
          <a:endParaRPr lang="pt-BR"/>
        </a:p>
      </c:txPr>
    </c:title>
    <c:autoTitleDeleted val="0"/>
    <c:plotArea>
      <c:layout>
        <c:manualLayout>
          <c:layoutTarget val="inner"/>
          <c:xMode val="edge"/>
          <c:yMode val="edge"/>
          <c:x val="0.14418621024051817"/>
          <c:y val="0.20000065104378587"/>
          <c:w val="0.797675324395132"/>
          <c:h val="0.71666899957357266"/>
        </c:manualLayout>
      </c:layout>
      <c:scatterChart>
        <c:scatterStyle val="lineMarker"/>
        <c:varyColors val="0"/>
        <c:ser>
          <c:idx val="0"/>
          <c:order val="0"/>
          <c:tx>
            <c:v>Residuals</c:v>
          </c:tx>
          <c:spPr>
            <a:ln w="12700">
              <a:solidFill>
                <a:srgbClr val="000080"/>
              </a:solidFill>
              <a:prstDash val="solid"/>
            </a:ln>
          </c:spPr>
          <c:marker>
            <c:symbol val="diamond"/>
            <c:size val="5"/>
            <c:spPr>
              <a:solidFill>
                <a:srgbClr val="000080"/>
              </a:solidFill>
              <a:ln>
                <a:solidFill>
                  <a:srgbClr val="000080"/>
                </a:solidFill>
                <a:prstDash val="solid"/>
              </a:ln>
            </c:spPr>
          </c:marker>
          <c:xVal>
            <c:numRef>
              <c:f>Method!$J$8:$J$23</c:f>
              <c:numCache>
                <c:formatCode>0.00000</c:formatCode>
                <c:ptCount val="16"/>
                <c:pt idx="0">
                  <c:v>6.3603367026233678E-3</c:v>
                </c:pt>
                <c:pt idx="1">
                  <c:v>7.0499925281344474E-3</c:v>
                </c:pt>
                <c:pt idx="2">
                  <c:v>8.216359981787694E-3</c:v>
                </c:pt>
                <c:pt idx="3">
                  <c:v>9.4952229941278436E-3</c:v>
                </c:pt>
                <c:pt idx="4">
                  <c:v>1.112766725743055E-2</c:v>
                </c:pt>
                <c:pt idx="5">
                  <c:v>1.3047188742154645E-2</c:v>
                </c:pt>
                <c:pt idx="6">
                  <c:v>1.528378689741686E-2</c:v>
                </c:pt>
                <c:pt idx="7">
                  <c:v>1.848032994923858E-2</c:v>
                </c:pt>
                <c:pt idx="8">
                  <c:v>2.2391982914407756E-2</c:v>
                </c:pt>
                <c:pt idx="9">
                  <c:v>2.7359700890729814E-2</c:v>
                </c:pt>
                <c:pt idx="10">
                  <c:v>3.42267535203346E-2</c:v>
                </c:pt>
                <c:pt idx="11">
                  <c:v>4.1320583513645565E-2</c:v>
                </c:pt>
                <c:pt idx="12">
                  <c:v>5.4600821490958878E-2</c:v>
                </c:pt>
                <c:pt idx="13">
                  <c:v>6.803416307759691E-2</c:v>
                </c:pt>
                <c:pt idx="14">
                  <c:v>#N/A</c:v>
                </c:pt>
                <c:pt idx="15">
                  <c:v>#N/A</c:v>
                </c:pt>
              </c:numCache>
            </c:numRef>
          </c:xVal>
          <c:yVal>
            <c:numRef>
              <c:f>Method!$M$8:$M$23</c:f>
              <c:numCache>
                <c:formatCode>0.00000</c:formatCode>
                <c:ptCount val="16"/>
                <c:pt idx="0">
                  <c:v>1.5804239431649048E-3</c:v>
                </c:pt>
                <c:pt idx="1">
                  <c:v>1.444133155323872E-3</c:v>
                </c:pt>
                <c:pt idx="2">
                  <c:v>-7.9163938631900826E-4</c:v>
                </c:pt>
                <c:pt idx="3">
                  <c:v>-2.961704280845523E-4</c:v>
                </c:pt>
                <c:pt idx="4">
                  <c:v>2.7757516276816219E-5</c:v>
                </c:pt>
                <c:pt idx="5">
                  <c:v>-1.3873242266179281E-3</c:v>
                </c:pt>
                <c:pt idx="6">
                  <c:v>8.097971170871604E-4</c:v>
                </c:pt>
                <c:pt idx="7">
                  <c:v>2.5306650022808852E-3</c:v>
                </c:pt>
                <c:pt idx="8">
                  <c:v>1.332477355811823E-4</c:v>
                </c:pt>
                <c:pt idx="9">
                  <c:v>-1.7007513374887873E-4</c:v>
                </c:pt>
                <c:pt idx="10">
                  <c:v>-5.4827429007365258E-3</c:v>
                </c:pt>
                <c:pt idx="11">
                  <c:v>-1.8804245184921714E-3</c:v>
                </c:pt>
                <c:pt idx="12">
                  <c:v>3.4823521242841882E-3</c:v>
                </c:pt>
                <c:pt idx="13">
                  <c:v>#N/A</c:v>
                </c:pt>
                <c:pt idx="14">
                  <c:v>#N/A</c:v>
                </c:pt>
                <c:pt idx="15">
                  <c:v>#N/A</c:v>
                </c:pt>
              </c:numCache>
            </c:numRef>
          </c:yVal>
          <c:smooth val="0"/>
        </c:ser>
        <c:dLbls>
          <c:showLegendKey val="0"/>
          <c:showVal val="0"/>
          <c:showCatName val="0"/>
          <c:showSerName val="0"/>
          <c:showPercent val="0"/>
          <c:showBubbleSize val="0"/>
        </c:dLbls>
        <c:axId val="387181744"/>
        <c:axId val="386953600"/>
      </c:scatterChart>
      <c:valAx>
        <c:axId val="387181744"/>
        <c:scaling>
          <c:orientation val="minMax"/>
        </c:scaling>
        <c:delete val="0"/>
        <c:axPos val="b"/>
        <c:numFmt formatCode="0.000" sourceLinked="0"/>
        <c:majorTickMark val="out"/>
        <c:minorTickMark val="none"/>
        <c:tickLblPos val="nextTo"/>
        <c:spPr>
          <a:ln w="3175">
            <a:solidFill>
              <a:srgbClr val="000000"/>
            </a:solidFill>
            <a:prstDash val="solid"/>
          </a:ln>
        </c:spPr>
        <c:txPr>
          <a:bodyPr rot="-5400000" vert="horz"/>
          <a:lstStyle/>
          <a:p>
            <a:pPr>
              <a:defRPr sz="875" b="0" i="0" u="none" strike="noStrike" baseline="0">
                <a:solidFill>
                  <a:srgbClr val="000000"/>
                </a:solidFill>
                <a:latin typeface="Arial"/>
                <a:ea typeface="Arial"/>
                <a:cs typeface="Arial"/>
              </a:defRPr>
            </a:pPr>
            <a:endParaRPr lang="pt-BR"/>
          </a:p>
        </c:txPr>
        <c:crossAx val="386953600"/>
        <c:crosses val="autoZero"/>
        <c:crossBetween val="midCat"/>
      </c:valAx>
      <c:valAx>
        <c:axId val="386953600"/>
        <c:scaling>
          <c:orientation val="minMax"/>
        </c:scaling>
        <c:delete val="0"/>
        <c:axPos val="l"/>
        <c:majorGridlines>
          <c:spPr>
            <a:ln w="3175">
              <a:solidFill>
                <a:srgbClr val="000000"/>
              </a:solidFill>
              <a:prstDash val="solid"/>
            </a:ln>
          </c:spPr>
        </c:majorGridlines>
        <c:numFmt formatCode="0.000" sourceLinked="0"/>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pt-BR"/>
          </a:p>
        </c:txPr>
        <c:crossAx val="3871817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75" b="0" i="0" u="none" strike="noStrike" baseline="0">
          <a:solidFill>
            <a:srgbClr val="000000"/>
          </a:solidFill>
          <a:latin typeface="Arial"/>
          <a:ea typeface="Arial"/>
          <a:cs typeface="Arial"/>
        </a:defRPr>
      </a:pPr>
      <a:endParaRPr lang="pt-BR"/>
    </a:p>
  </c:txPr>
  <c:printSettings>
    <c:headerFooter alignWithMargins="0"/>
    <c:pageMargins b="1" l="0.75000000000000488" r="0.75000000000000488"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814349404954521"/>
          <c:y val="5.9548314325103414E-2"/>
          <c:w val="0.72789486930572112"/>
          <c:h val="0.71826785676723626"/>
        </c:manualLayout>
      </c:layout>
      <c:scatterChart>
        <c:scatterStyle val="lineMarker"/>
        <c:varyColors val="0"/>
        <c:ser>
          <c:idx val="0"/>
          <c:order val="0"/>
          <c:tx>
            <c:strRef>
              <c:f>'Mortality rates'!$I$5</c:f>
              <c:strCache>
                <c:ptCount val="1"/>
                <c:pt idx="0">
                  <c:v>Obs. Y(x)</c:v>
                </c:pt>
              </c:strCache>
            </c:strRef>
          </c:tx>
          <c:spPr>
            <a:ln w="28575">
              <a:noFill/>
            </a:ln>
          </c:spPr>
          <c:marker>
            <c:symbol val="diamond"/>
            <c:size val="5"/>
            <c:spPr>
              <a:solidFill>
                <a:srgbClr val="000080"/>
              </a:solidFill>
              <a:ln>
                <a:solidFill>
                  <a:srgbClr val="000080"/>
                </a:solidFill>
                <a:prstDash val="solid"/>
              </a:ln>
            </c:spPr>
          </c:marker>
          <c:xVal>
            <c:numRef>
              <c:f>'Mortality rates'!$K$9:$K$25</c:f>
              <c:numCache>
                <c:formatCode>0.0000_)</c:formatCode>
                <c:ptCount val="17"/>
                <c:pt idx="0">
                  <c:v>-2.2505979342666698</c:v>
                </c:pt>
                <c:pt idx="1">
                  <c:v>-1.9585498746774208</c:v>
                </c:pt>
                <c:pt idx="2">
                  <c:v>-1.7059635215249491</c:v>
                </c:pt>
                <c:pt idx="3">
                  <c:v>-1.4928261749237073</c:v>
                </c:pt>
                <c:pt idx="4">
                  <c:v>-1.3226452410536844</c:v>
                </c:pt>
                <c:pt idx="5">
                  <c:v>-1.1766131886173843</c:v>
                </c:pt>
                <c:pt idx="6">
                  <c:v>-1.0446781483104151</c:v>
                </c:pt>
                <c:pt idx="7">
                  <c:v>-0.91944057379661248</c:v>
                </c:pt>
                <c:pt idx="8">
                  <c:v>-0.7925048820508992</c:v>
                </c:pt>
                <c:pt idx="9">
                  <c:v>-0.65144477232807607</c:v>
                </c:pt>
                <c:pt idx="10">
                  <c:v>-0.49464794039967175</c:v>
                </c:pt>
                <c:pt idx="11">
                  <c:v>-0.30738762512432866</c:v>
                </c:pt>
                <c:pt idx="12">
                  <c:v>-8.560519582249751E-2</c:v>
                </c:pt>
                <c:pt idx="13">
                  <c:v>0.18983445421266135</c:v>
                </c:pt>
                <c:pt idx="14">
                  <c:v>0.53729909217546867</c:v>
                </c:pt>
                <c:pt idx="15">
                  <c:v>0.99559980067780607</c:v>
                </c:pt>
                <c:pt idx="16">
                  <c:v>1.6443047888384308</c:v>
                </c:pt>
              </c:numCache>
            </c:numRef>
          </c:xVal>
          <c:yVal>
            <c:numRef>
              <c:f>'Mortality rates'!$I$9:$I$25</c:f>
              <c:numCache>
                <c:formatCode>0.0000_)</c:formatCode>
                <c:ptCount val="17"/>
                <c:pt idx="0">
                  <c:v>-1.9623403615609143</c:v>
                </c:pt>
                <c:pt idx="1">
                  <c:v>-1.7756517111563459</c:v>
                </c:pt>
                <c:pt idx="2">
                  <c:v>-1.5836161470415042</c:v>
                </c:pt>
                <c:pt idx="3">
                  <c:v>-1.4189859832524163</c:v>
                </c:pt>
                <c:pt idx="4">
                  <c:v>-1.2767837921916034</c:v>
                </c:pt>
                <c:pt idx="5">
                  <c:v>-1.1279435465645788</c:v>
                </c:pt>
                <c:pt idx="6">
                  <c:v>-0.99207643589146832</c:v>
                </c:pt>
                <c:pt idx="7">
                  <c:v>-0.85897555395365055</c:v>
                </c:pt>
                <c:pt idx="8">
                  <c:v>-0.72122297132210189</c:v>
                </c:pt>
                <c:pt idx="9">
                  <c:v>-0.57937495798862637</c:v>
                </c:pt>
                <c:pt idx="10">
                  <c:v>-0.41271753121076171</c:v>
                </c:pt>
                <c:pt idx="11">
                  <c:v>-0.21856496923841146</c:v>
                </c:pt>
                <c:pt idx="12">
                  <c:v>-1.1431636688776224E-2</c:v>
                </c:pt>
                <c:pt idx="13">
                  <c:v>0.2368852392221899</c:v>
                </c:pt>
                <c:pt idx="14">
                  <c:v>#N/A</c:v>
                </c:pt>
                <c:pt idx="15">
                  <c:v>#N/A</c:v>
                </c:pt>
                <c:pt idx="16">
                  <c:v>#N/A</c:v>
                </c:pt>
              </c:numCache>
            </c:numRef>
          </c:yVal>
          <c:smooth val="0"/>
        </c:ser>
        <c:ser>
          <c:idx val="1"/>
          <c:order val="1"/>
          <c:tx>
            <c:strRef>
              <c:f>'Mortality rates'!$L$5</c:f>
              <c:strCache>
                <c:ptCount val="1"/>
                <c:pt idx="0">
                  <c:v>Fitted Y(x)</c:v>
                </c:pt>
              </c:strCache>
            </c:strRef>
          </c:tx>
          <c:spPr>
            <a:ln w="12700">
              <a:solidFill>
                <a:srgbClr val="FF00FF"/>
              </a:solidFill>
              <a:prstDash val="solid"/>
            </a:ln>
          </c:spPr>
          <c:marker>
            <c:symbol val="none"/>
          </c:marker>
          <c:xVal>
            <c:numRef>
              <c:f>'Mortality rates'!$K$9:$K$25</c:f>
              <c:numCache>
                <c:formatCode>0.0000_)</c:formatCode>
                <c:ptCount val="17"/>
                <c:pt idx="0">
                  <c:v>-2.2505979342666698</c:v>
                </c:pt>
                <c:pt idx="1">
                  <c:v>-1.9585498746774208</c:v>
                </c:pt>
                <c:pt idx="2">
                  <c:v>-1.7059635215249491</c:v>
                </c:pt>
                <c:pt idx="3">
                  <c:v>-1.4928261749237073</c:v>
                </c:pt>
                <c:pt idx="4">
                  <c:v>-1.3226452410536844</c:v>
                </c:pt>
                <c:pt idx="5">
                  <c:v>-1.1766131886173843</c:v>
                </c:pt>
                <c:pt idx="6">
                  <c:v>-1.0446781483104151</c:v>
                </c:pt>
                <c:pt idx="7">
                  <c:v>-0.91944057379661248</c:v>
                </c:pt>
                <c:pt idx="8">
                  <c:v>-0.7925048820508992</c:v>
                </c:pt>
                <c:pt idx="9">
                  <c:v>-0.65144477232807607</c:v>
                </c:pt>
                <c:pt idx="10">
                  <c:v>-0.49464794039967175</c:v>
                </c:pt>
                <c:pt idx="11">
                  <c:v>-0.30738762512432866</c:v>
                </c:pt>
                <c:pt idx="12">
                  <c:v>-8.560519582249751E-2</c:v>
                </c:pt>
                <c:pt idx="13">
                  <c:v>0.18983445421266135</c:v>
                </c:pt>
                <c:pt idx="14">
                  <c:v>0.53729909217546867</c:v>
                </c:pt>
                <c:pt idx="15">
                  <c:v>0.99559980067780607</c:v>
                </c:pt>
                <c:pt idx="16">
                  <c:v>1.6443047888384308</c:v>
                </c:pt>
              </c:numCache>
            </c:numRef>
          </c:xVal>
          <c:yVal>
            <c:numRef>
              <c:f>'Mortality rates'!$L$9:$L$25</c:f>
              <c:numCache>
                <c:formatCode>0.0000_)</c:formatCode>
                <c:ptCount val="17"/>
                <c:pt idx="0">
                  <c:v>-2.1653958600912588</c:v>
                </c:pt>
                <c:pt idx="1">
                  <c:v>-1.875662935445533</c:v>
                </c:pt>
                <c:pt idx="2">
                  <c:v>-1.6250788948345753</c:v>
                </c:pt>
                <c:pt idx="3">
                  <c:v>-1.4136311390478737</c:v>
                </c:pt>
                <c:pt idx="4">
                  <c:v>-1.2447992702162491</c:v>
                </c:pt>
                <c:pt idx="5">
                  <c:v>-1.0999248488491133</c:v>
                </c:pt>
                <c:pt idx="6">
                  <c:v>-0.9690356892184937</c:v>
                </c:pt>
                <c:pt idx="7">
                  <c:v>-0.84479090296497539</c:v>
                </c:pt>
                <c:pt idx="8">
                  <c:v>-0.7188614608617151</c:v>
                </c:pt>
                <c:pt idx="9">
                  <c:v>-0.57891956842688164</c:v>
                </c:pt>
                <c:pt idx="10">
                  <c:v>-0.42336570255393308</c:v>
                </c:pt>
                <c:pt idx="11">
                  <c:v>-0.23758984466563393</c:v>
                </c:pt>
                <c:pt idx="12">
                  <c:v>-1.7565537820285665E-2</c:v>
                </c:pt>
                <c:pt idx="13">
                  <c:v>0.25569063611328552</c:v>
                </c:pt>
                <c:pt idx="14">
                  <c:v>0.60040083863790605</c:v>
                </c:pt>
                <c:pt idx="15">
                  <c:v>1.055068487614399</c:v>
                </c:pt>
                <c:pt idx="16">
                  <c:v>1.6986310359031727</c:v>
                </c:pt>
              </c:numCache>
            </c:numRef>
          </c:yVal>
          <c:smooth val="0"/>
        </c:ser>
        <c:dLbls>
          <c:showLegendKey val="0"/>
          <c:showVal val="0"/>
          <c:showCatName val="0"/>
          <c:showSerName val="0"/>
          <c:showPercent val="0"/>
          <c:showBubbleSize val="0"/>
        </c:dLbls>
        <c:axId val="714616032"/>
        <c:axId val="714618752"/>
      </c:scatterChart>
      <c:valAx>
        <c:axId val="714616032"/>
        <c:scaling>
          <c:orientation val="minMax"/>
        </c:scaling>
        <c:delete val="0"/>
        <c:axPos val="b"/>
        <c:title>
          <c:tx>
            <c:rich>
              <a:bodyPr/>
              <a:lstStyle/>
              <a:p>
                <a:pPr>
                  <a:defRPr sz="1100" b="0" i="0" u="none" strike="noStrike" baseline="0">
                    <a:solidFill>
                      <a:srgbClr val="000000"/>
                    </a:solidFill>
                    <a:latin typeface="Calibri"/>
                    <a:ea typeface="Calibri"/>
                    <a:cs typeface="Calibri"/>
                  </a:defRPr>
                </a:pPr>
                <a:r>
                  <a:rPr lang="en-ZA" sz="1500" b="1" i="0" u="none" strike="noStrike" baseline="0">
                    <a:solidFill>
                      <a:srgbClr val="000000"/>
                    </a:solidFill>
                    <a:latin typeface="Times New Roman"/>
                    <a:cs typeface="Times New Roman"/>
                  </a:rPr>
                  <a:t>Y</a:t>
                </a:r>
                <a:r>
                  <a:rPr lang="en-ZA" sz="1500" b="1" i="0" u="none" strike="noStrike" baseline="-25000">
                    <a:solidFill>
                      <a:srgbClr val="000000"/>
                    </a:solidFill>
                    <a:latin typeface="Times New Roman"/>
                    <a:cs typeface="Times New Roman"/>
                  </a:rPr>
                  <a:t>s</a:t>
                </a:r>
                <a:r>
                  <a:rPr lang="en-ZA" sz="1500" b="1" i="0" u="none" strike="noStrike" baseline="0">
                    <a:solidFill>
                      <a:srgbClr val="000000"/>
                    </a:solidFill>
                    <a:latin typeface="Times New Roman"/>
                    <a:cs typeface="Times New Roman"/>
                  </a:rPr>
                  <a:t>(x)</a:t>
                </a:r>
              </a:p>
            </c:rich>
          </c:tx>
          <c:layout>
            <c:manualLayout>
              <c:xMode val="edge"/>
              <c:yMode val="edge"/>
              <c:x val="0.4382357171107038"/>
              <c:y val="0.85643011898668497"/>
            </c:manualLayout>
          </c:layout>
          <c:overlay val="0"/>
          <c:spPr>
            <a:noFill/>
            <a:ln w="25400">
              <a:noFill/>
            </a:ln>
          </c:spPr>
        </c:title>
        <c:numFmt formatCode="0.00" sourceLinked="0"/>
        <c:majorTickMark val="out"/>
        <c:minorTickMark val="none"/>
        <c:tickLblPos val="low"/>
        <c:spPr>
          <a:ln w="3175">
            <a:solidFill>
              <a:srgbClr val="000000"/>
            </a:solidFill>
            <a:prstDash val="solid"/>
          </a:ln>
        </c:spPr>
        <c:txPr>
          <a:bodyPr rot="0" vert="horz"/>
          <a:lstStyle/>
          <a:p>
            <a:pPr>
              <a:defRPr sz="1125" b="0" i="0" u="none" strike="noStrike" baseline="0">
                <a:solidFill>
                  <a:srgbClr val="000000"/>
                </a:solidFill>
                <a:latin typeface="Times New Roman"/>
                <a:ea typeface="Times New Roman"/>
                <a:cs typeface="Times New Roman"/>
              </a:defRPr>
            </a:pPr>
            <a:endParaRPr lang="pt-BR"/>
          </a:p>
        </c:txPr>
        <c:crossAx val="714618752"/>
        <c:crossesAt val="0"/>
        <c:crossBetween val="midCat"/>
      </c:valAx>
      <c:valAx>
        <c:axId val="714618752"/>
        <c:scaling>
          <c:orientation val="minMax"/>
        </c:scaling>
        <c:delete val="0"/>
        <c:axPos val="l"/>
        <c:title>
          <c:tx>
            <c:rich>
              <a:bodyPr/>
              <a:lstStyle/>
              <a:p>
                <a:pPr>
                  <a:defRPr sz="1500" b="1" i="0" u="none" strike="noStrike" baseline="0">
                    <a:solidFill>
                      <a:srgbClr val="000000"/>
                    </a:solidFill>
                    <a:latin typeface="Times New Roman"/>
                    <a:ea typeface="Times New Roman"/>
                    <a:cs typeface="Times New Roman"/>
                  </a:defRPr>
                </a:pPr>
                <a:r>
                  <a:rPr lang="en-ZA"/>
                  <a:t>Y(x)</a:t>
                </a:r>
              </a:p>
            </c:rich>
          </c:tx>
          <c:layout>
            <c:manualLayout>
              <c:xMode val="edge"/>
              <c:yMode val="edge"/>
              <c:x val="1.6666666666666701E-2"/>
              <c:y val="0.37987722787218686"/>
            </c:manualLayout>
          </c:layout>
          <c:overlay val="0"/>
          <c:spPr>
            <a:noFill/>
            <a:ln w="25400">
              <a:noFill/>
            </a:ln>
          </c:spPr>
        </c:title>
        <c:numFmt formatCode="0.00" sourceLinked="0"/>
        <c:majorTickMark val="out"/>
        <c:minorTickMark val="none"/>
        <c:tickLblPos val="low"/>
        <c:spPr>
          <a:ln w="3175">
            <a:solidFill>
              <a:srgbClr val="000000"/>
            </a:solidFill>
            <a:prstDash val="solid"/>
          </a:ln>
        </c:spPr>
        <c:txPr>
          <a:bodyPr rot="0" vert="horz"/>
          <a:lstStyle/>
          <a:p>
            <a:pPr>
              <a:defRPr sz="1125" b="0" i="0" u="none" strike="noStrike" baseline="0">
                <a:solidFill>
                  <a:srgbClr val="000000"/>
                </a:solidFill>
                <a:latin typeface="Times New Roman"/>
                <a:ea typeface="Times New Roman"/>
                <a:cs typeface="Times New Roman"/>
              </a:defRPr>
            </a:pPr>
            <a:endParaRPr lang="pt-BR"/>
          </a:p>
        </c:txPr>
        <c:crossAx val="714616032"/>
        <c:crossesAt val="0"/>
        <c:crossBetween val="midCat"/>
      </c:valAx>
      <c:spPr>
        <a:noFill/>
        <a:ln w="25400">
          <a:noFill/>
        </a:ln>
      </c:spPr>
    </c:plotArea>
    <c:legend>
      <c:legendPos val="b"/>
      <c:layout>
        <c:manualLayout>
          <c:xMode val="edge"/>
          <c:yMode val="edge"/>
          <c:x val="0.34117677937317065"/>
          <c:y val="0.92402550297229269"/>
          <c:w val="0.23823549997426993"/>
          <c:h val="5.9548254620123413E-2"/>
        </c:manualLayout>
      </c:layout>
      <c:overlay val="0"/>
      <c:spPr>
        <a:noFill/>
        <a:ln w="25400">
          <a:noFill/>
        </a:ln>
      </c:spPr>
      <c:txPr>
        <a:bodyPr/>
        <a:lstStyle/>
        <a:p>
          <a:pPr>
            <a:defRPr sz="1085" b="0" i="0" u="none" strike="noStrike" baseline="0">
              <a:solidFill>
                <a:srgbClr val="000000"/>
              </a:solidFill>
              <a:latin typeface="Times New Roman"/>
              <a:ea typeface="Times New Roman"/>
              <a:cs typeface="Times New Roman"/>
            </a:defRPr>
          </a:pPr>
          <a:endParaRPr lang="pt-BR"/>
        </a:p>
      </c:txPr>
    </c:legend>
    <c:plotVisOnly val="1"/>
    <c:dispBlanksAs val="gap"/>
    <c:showDLblsOverMax val="0"/>
  </c:chart>
  <c:spPr>
    <a:solidFill>
      <a:srgbClr val="FFFFFF"/>
    </a:solidFill>
    <a:ln w="9525">
      <a:noFill/>
    </a:ln>
  </c:spPr>
  <c:txPr>
    <a:bodyPr/>
    <a:lstStyle/>
    <a:p>
      <a:pPr>
        <a:defRPr sz="1025" b="0" i="0" u="none" strike="noStrike" baseline="0">
          <a:solidFill>
            <a:srgbClr val="000000"/>
          </a:solidFill>
          <a:latin typeface="Times New Roman"/>
          <a:ea typeface="Times New Roman"/>
          <a:cs typeface="Times New Roman"/>
        </a:defRPr>
      </a:pPr>
      <a:endParaRPr lang="pt-BR"/>
    </a:p>
  </c:txPr>
  <c:printSettings>
    <c:headerFooter alignWithMargins="0"/>
    <c:pageMargins b="1" l="0.75000000000000488" r="0.75000000000000488" t="1" header="0.5" footer="0.5"/>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367021560228218"/>
          <c:y val="4.476822453644945E-2"/>
          <c:w val="0.63851371287392689"/>
          <c:h val="0.82426054102108159"/>
        </c:manualLayout>
      </c:layout>
      <c:scatterChart>
        <c:scatterStyle val="lineMarker"/>
        <c:varyColors val="0"/>
        <c:ser>
          <c:idx val="1"/>
          <c:order val="0"/>
          <c:tx>
            <c:v>Smoothed adjusted rates</c:v>
          </c:tx>
          <c:spPr>
            <a:ln w="15875">
              <a:solidFill>
                <a:srgbClr val="FF00FF"/>
              </a:solidFill>
            </a:ln>
          </c:spPr>
          <c:marker>
            <c:symbol val="none"/>
          </c:marker>
          <c:xVal>
            <c:numRef>
              <c:f>'Mortality rates'!$Q$8:$Q$23</c:f>
              <c:numCache>
                <c:formatCode>General</c:formatCode>
                <c:ptCount val="16"/>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numCache>
            </c:numRef>
          </c:xVal>
          <c:yVal>
            <c:numRef>
              <c:f>'Mortality rates'!$P$8:$P$23</c:f>
              <c:numCache>
                <c:formatCode>0.0000</c:formatCode>
                <c:ptCount val="16"/>
                <c:pt idx="0">
                  <c:v>2.6142274597191172E-3</c:v>
                </c:pt>
                <c:pt idx="1">
                  <c:v>2.0287217370105457E-3</c:v>
                </c:pt>
                <c:pt idx="2">
                  <c:v>2.9640384003831338E-3</c:v>
                </c:pt>
                <c:pt idx="3">
                  <c:v>3.8907726908597173E-3</c:v>
                </c:pt>
                <c:pt idx="4">
                  <c:v>4.438340674855581E-3</c:v>
                </c:pt>
                <c:pt idx="5">
                  <c:v>5.0828743878235851E-3</c:v>
                </c:pt>
                <c:pt idx="6">
                  <c:v>5.8828342713270112E-3</c:v>
                </c:pt>
                <c:pt idx="7">
                  <c:v>6.9768478591272151E-3</c:v>
                </c:pt>
                <c:pt idx="8">
                  <c:v>8.7315873818102196E-3</c:v>
                </c:pt>
                <c:pt idx="9">
                  <c:v>1.2023118045023252E-2</c:v>
                </c:pt>
                <c:pt idx="10">
                  <c:v>1.671904414907412E-2</c:v>
                </c:pt>
                <c:pt idx="11">
                  <c:v>2.530123147388421E-2</c:v>
                </c:pt>
                <c:pt idx="12">
                  <c:v>3.8325216047624969E-2</c:v>
                </c:pt>
                <c:pt idx="13">
                  <c:v>6.0617591825300673E-2</c:v>
                </c:pt>
                <c:pt idx="14">
                  <c:v>9.4712355329828926E-2</c:v>
                </c:pt>
                <c:pt idx="15">
                  <c:v>0.14519707540108093</c:v>
                </c:pt>
              </c:numCache>
            </c:numRef>
          </c:yVal>
          <c:smooth val="0"/>
        </c:ser>
        <c:ser>
          <c:idx val="0"/>
          <c:order val="1"/>
          <c:tx>
            <c:v>Observed adjusted rates</c:v>
          </c:tx>
          <c:spPr>
            <a:ln>
              <a:noFill/>
            </a:ln>
          </c:spPr>
          <c:marker>
            <c:symbol val="diamond"/>
            <c:size val="5"/>
            <c:spPr>
              <a:solidFill>
                <a:schemeClr val="tx2"/>
              </a:solidFill>
              <a:ln>
                <a:solidFill>
                  <a:schemeClr val="tx2"/>
                </a:solidFill>
              </a:ln>
            </c:spPr>
          </c:marker>
          <c:xVal>
            <c:numRef>
              <c:f>'Mortality rates'!$Q$8:$Q$23</c:f>
              <c:numCache>
                <c:formatCode>General</c:formatCode>
                <c:ptCount val="16"/>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numCache>
            </c:numRef>
          </c:xVal>
          <c:yVal>
            <c:numRef>
              <c:f>'Mortality rates'!$E$8:$E$23</c:f>
              <c:numCache>
                <c:formatCode>0.0000</c:formatCode>
                <c:ptCount val="16"/>
                <c:pt idx="0">
                  <c:v>3.911069454777762E-3</c:v>
                </c:pt>
                <c:pt idx="1">
                  <c:v>1.7454846692323972E-3</c:v>
                </c:pt>
                <c:pt idx="2">
                  <c:v>2.5946961346350978E-3</c:v>
                </c:pt>
                <c:pt idx="3">
                  <c:v>3.1274417261882848E-3</c:v>
                </c:pt>
                <c:pt idx="4">
                  <c:v>3.6060276888258049E-3</c:v>
                </c:pt>
                <c:pt idx="5">
                  <c:v>4.9440390171562685E-3</c:v>
                </c:pt>
                <c:pt idx="6">
                  <c:v>5.8362961137365275E-3</c:v>
                </c:pt>
                <c:pt idx="7">
                  <c:v>7.2399875021274219E-3</c:v>
                </c:pt>
                <c:pt idx="8">
                  <c:v>9.4239522029476216E-3</c:v>
                </c:pt>
                <c:pt idx="9">
                  <c:v>1.2160383654111533E-2</c:v>
                </c:pt>
                <c:pt idx="10">
                  <c:v>1.8047900119813328E-2</c:v>
                </c:pt>
                <c:pt idx="11">
                  <c:v>2.6958199390875202E-2</c:v>
                </c:pt>
                <c:pt idx="12">
                  <c:v>3.6597588924941894E-2</c:v>
                </c:pt>
                <c:pt idx="13">
                  <c:v>5.4862110281086049E-2</c:v>
                </c:pt>
                <c:pt idx="14">
                  <c:v>0.10243902251406571</c:v>
                </c:pt>
                <c:pt idx="15">
                  <c:v>#N/A</c:v>
                </c:pt>
              </c:numCache>
            </c:numRef>
          </c:yVal>
          <c:smooth val="0"/>
        </c:ser>
        <c:dLbls>
          <c:showLegendKey val="0"/>
          <c:showVal val="0"/>
          <c:showCatName val="0"/>
          <c:showSerName val="0"/>
          <c:showPercent val="0"/>
          <c:showBubbleSize val="0"/>
        </c:dLbls>
        <c:axId val="714619296"/>
        <c:axId val="714619840"/>
      </c:scatterChart>
      <c:valAx>
        <c:axId val="714619296"/>
        <c:scaling>
          <c:orientation val="minMax"/>
          <c:max val="80"/>
        </c:scaling>
        <c:delete val="0"/>
        <c:axPos val="b"/>
        <c:numFmt formatCode="General" sourceLinked="1"/>
        <c:majorTickMark val="out"/>
        <c:minorTickMark val="none"/>
        <c:tickLblPos val="nextTo"/>
        <c:crossAx val="714619840"/>
        <c:crosses val="autoZero"/>
        <c:crossBetween val="midCat"/>
      </c:valAx>
      <c:valAx>
        <c:axId val="714619840"/>
        <c:scaling>
          <c:orientation val="minMax"/>
        </c:scaling>
        <c:delete val="0"/>
        <c:axPos val="l"/>
        <c:majorGridlines/>
        <c:title>
          <c:tx>
            <c:rich>
              <a:bodyPr rot="-5400000" vert="horz"/>
              <a:lstStyle/>
              <a:p>
                <a:pPr>
                  <a:defRPr/>
                </a:pPr>
                <a:r>
                  <a:rPr lang="en-US"/>
                  <a:t>5mx</a:t>
                </a:r>
              </a:p>
            </c:rich>
          </c:tx>
          <c:layout/>
          <c:overlay val="0"/>
        </c:title>
        <c:numFmt formatCode="0.00" sourceLinked="0"/>
        <c:majorTickMark val="out"/>
        <c:minorTickMark val="none"/>
        <c:tickLblPos val="nextTo"/>
        <c:crossAx val="714619296"/>
        <c:crosses val="autoZero"/>
        <c:crossBetween val="midCat"/>
      </c:valAx>
    </c:plotArea>
    <c:legend>
      <c:legendPos val="r"/>
      <c:layout>
        <c:manualLayout>
          <c:xMode val="edge"/>
          <c:yMode val="edge"/>
          <c:x val="0.77007891790050298"/>
          <c:y val="0.42708502667005332"/>
          <c:w val="0.21637706404080981"/>
          <c:h val="0.34692772598827493"/>
        </c:manualLayout>
      </c:layout>
      <c:overlay val="0"/>
      <c:spPr>
        <a:solidFill>
          <a:srgbClr val="FFEB9B"/>
        </a:solidFill>
      </c:spPr>
    </c:legend>
    <c:plotVisOnly val="1"/>
    <c:dispBlanksAs val="gap"/>
    <c:showDLblsOverMax val="0"/>
  </c:chart>
  <c:spPr>
    <a:ln>
      <a:noFill/>
    </a:ln>
  </c:spPr>
  <c:printSettings>
    <c:headerFooter/>
    <c:pageMargins b="0.75000000000000222" l="0.70000000000000062" r="0.70000000000000062" t="0.75000000000000222"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942229605020419"/>
          <c:y val="0.15722823340825604"/>
          <c:w val="0.75212009351544606"/>
          <c:h val="0.63414005192270861"/>
        </c:manualLayout>
      </c:layout>
      <c:scatterChart>
        <c:scatterStyle val="lineMarker"/>
        <c:varyColors val="0"/>
        <c:ser>
          <c:idx val="0"/>
          <c:order val="0"/>
          <c:tx>
            <c:v>Observations</c:v>
          </c:tx>
          <c:spPr>
            <a:ln>
              <a:noFill/>
            </a:ln>
          </c:spPr>
          <c:marker>
            <c:symbol val="square"/>
            <c:size val="5"/>
          </c:marker>
          <c:xVal>
            <c:numRef>
              <c:f>Method!$J$7:$J$23</c:f>
              <c:numCache>
                <c:formatCode>0.00000</c:formatCode>
                <c:ptCount val="17"/>
                <c:pt idx="0">
                  <c:v>0</c:v>
                </c:pt>
                <c:pt idx="1">
                  <c:v>6.3603367026233678E-3</c:v>
                </c:pt>
                <c:pt idx="2">
                  <c:v>7.0499925281344474E-3</c:v>
                </c:pt>
                <c:pt idx="3">
                  <c:v>8.216359981787694E-3</c:v>
                </c:pt>
                <c:pt idx="4">
                  <c:v>9.4952229941278436E-3</c:v>
                </c:pt>
                <c:pt idx="5">
                  <c:v>1.112766725743055E-2</c:v>
                </c:pt>
                <c:pt idx="6">
                  <c:v>1.3047188742154645E-2</c:v>
                </c:pt>
                <c:pt idx="7">
                  <c:v>1.528378689741686E-2</c:v>
                </c:pt>
                <c:pt idx="8">
                  <c:v>1.848032994923858E-2</c:v>
                </c:pt>
                <c:pt idx="9">
                  <c:v>2.2391982914407756E-2</c:v>
                </c:pt>
                <c:pt idx="10">
                  <c:v>2.7359700890729814E-2</c:v>
                </c:pt>
                <c:pt idx="11">
                  <c:v>3.42267535203346E-2</c:v>
                </c:pt>
                <c:pt idx="12">
                  <c:v>4.1320583513645565E-2</c:v>
                </c:pt>
                <c:pt idx="13">
                  <c:v>5.4600821490958878E-2</c:v>
                </c:pt>
                <c:pt idx="14">
                  <c:v>6.803416307759691E-2</c:v>
                </c:pt>
                <c:pt idx="15">
                  <c:v>#N/A</c:v>
                </c:pt>
                <c:pt idx="16">
                  <c:v>#N/A</c:v>
                </c:pt>
              </c:numCache>
            </c:numRef>
          </c:xVal>
          <c:yVal>
            <c:numRef>
              <c:f>Method!$K$7:$K$23</c:f>
              <c:numCache>
                <c:formatCode>0.00000</c:formatCode>
                <c:ptCount val="17"/>
                <c:pt idx="1">
                  <c:v>3.8071342330352753E-2</c:v>
                </c:pt>
                <c:pt idx="2">
                  <c:v>3.877622632062247E-2</c:v>
                </c:pt>
                <c:pt idx="3">
                  <c:v>3.7963074813602615E-2</c:v>
                </c:pt>
                <c:pt idx="4">
                  <c:v>4.0018375895116927E-2</c:v>
                </c:pt>
                <c:pt idx="5">
                  <c:v>4.2333399818322834E-2</c:v>
                </c:pt>
                <c:pt idx="6">
                  <c:v>4.3259562793828088E-2</c:v>
                </c:pt>
                <c:pt idx="7">
                  <c:v>4.8184667991771471E-2</c:v>
                </c:pt>
                <c:pt idx="8">
                  <c:v>5.3804366703696746E-2</c:v>
                </c:pt>
                <c:pt idx="9">
                  <c:v>5.6178001450635937E-2</c:v>
                </c:pt>
                <c:pt idx="10">
                  <c:v>6.1933815489709124E-2</c:v>
                </c:pt>
                <c:pt idx="11">
                  <c:v>6.4996907425326697E-2</c:v>
                </c:pt>
                <c:pt idx="12">
                  <c:v>7.7251586376202053E-2</c:v>
                </c:pt>
                <c:pt idx="13">
                  <c:v>9.8812299468722803E-2</c:v>
                </c:pt>
                <c:pt idx="14">
                  <c:v>#N/A</c:v>
                </c:pt>
                <c:pt idx="15">
                  <c:v>0</c:v>
                </c:pt>
                <c:pt idx="16">
                  <c:v>0</c:v>
                </c:pt>
              </c:numCache>
            </c:numRef>
          </c:yVal>
          <c:smooth val="0"/>
        </c:ser>
        <c:ser>
          <c:idx val="1"/>
          <c:order val="1"/>
          <c:tx>
            <c:v>Fit</c:v>
          </c:tx>
          <c:spPr>
            <a:ln>
              <a:solidFill>
                <a:srgbClr val="FF66FF"/>
              </a:solidFill>
              <a:prstDash val="solid"/>
            </a:ln>
          </c:spPr>
          <c:marker>
            <c:symbol val="none"/>
          </c:marker>
          <c:xVal>
            <c:numRef>
              <c:f>Method!$J$7:$J$23</c:f>
              <c:numCache>
                <c:formatCode>0.00000</c:formatCode>
                <c:ptCount val="17"/>
                <c:pt idx="0">
                  <c:v>0</c:v>
                </c:pt>
                <c:pt idx="1">
                  <c:v>6.3603367026233678E-3</c:v>
                </c:pt>
                <c:pt idx="2">
                  <c:v>7.0499925281344474E-3</c:v>
                </c:pt>
                <c:pt idx="3">
                  <c:v>8.216359981787694E-3</c:v>
                </c:pt>
                <c:pt idx="4">
                  <c:v>9.4952229941278436E-3</c:v>
                </c:pt>
                <c:pt idx="5">
                  <c:v>1.112766725743055E-2</c:v>
                </c:pt>
                <c:pt idx="6">
                  <c:v>1.3047188742154645E-2</c:v>
                </c:pt>
                <c:pt idx="7">
                  <c:v>1.528378689741686E-2</c:v>
                </c:pt>
                <c:pt idx="8">
                  <c:v>1.848032994923858E-2</c:v>
                </c:pt>
                <c:pt idx="9">
                  <c:v>2.2391982914407756E-2</c:v>
                </c:pt>
                <c:pt idx="10">
                  <c:v>2.7359700890729814E-2</c:v>
                </c:pt>
                <c:pt idx="11">
                  <c:v>3.42267535203346E-2</c:v>
                </c:pt>
                <c:pt idx="12">
                  <c:v>4.1320583513645565E-2</c:v>
                </c:pt>
                <c:pt idx="13">
                  <c:v>5.4600821490958878E-2</c:v>
                </c:pt>
                <c:pt idx="14">
                  <c:v>6.803416307759691E-2</c:v>
                </c:pt>
                <c:pt idx="15">
                  <c:v>#N/A</c:v>
                </c:pt>
                <c:pt idx="16">
                  <c:v>#N/A</c:v>
                </c:pt>
              </c:numCache>
            </c:numRef>
          </c:xVal>
          <c:yVal>
            <c:numRef>
              <c:f>Method!$L$7:$L$23</c:f>
              <c:numCache>
                <c:formatCode>0.00000</c:formatCode>
                <c:ptCount val="17"/>
                <c:pt idx="0">
                  <c:v>2.8733201252595309E-2</c:v>
                </c:pt>
                <c:pt idx="1">
                  <c:v>3.6490918387187848E-2</c:v>
                </c:pt>
                <c:pt idx="2">
                  <c:v>3.7332093165298598E-2</c:v>
                </c:pt>
                <c:pt idx="3">
                  <c:v>3.8754714199921624E-2</c:v>
                </c:pt>
                <c:pt idx="4">
                  <c:v>4.0314546323201479E-2</c:v>
                </c:pt>
                <c:pt idx="5">
                  <c:v>4.2305642302046018E-2</c:v>
                </c:pt>
                <c:pt idx="6">
                  <c:v>4.4646887020446016E-2</c:v>
                </c:pt>
                <c:pt idx="7">
                  <c:v>4.7374870874684311E-2</c:v>
                </c:pt>
                <c:pt idx="8">
                  <c:v>5.1273701701415861E-2</c:v>
                </c:pt>
                <c:pt idx="9">
                  <c:v>5.6044753715054754E-2</c:v>
                </c:pt>
                <c:pt idx="10">
                  <c:v>6.2103890623458002E-2</c:v>
                </c:pt>
                <c:pt idx="11">
                  <c:v>7.0479650326063223E-2</c:v>
                </c:pt>
                <c:pt idx="12">
                  <c:v>7.9132010894694224E-2</c:v>
                </c:pt>
                <c:pt idx="13">
                  <c:v>9.5329947344438615E-2</c:v>
                </c:pt>
                <c:pt idx="14">
                  <c:v>#N/A</c:v>
                </c:pt>
                <c:pt idx="15">
                  <c:v>#N/A</c:v>
                </c:pt>
                <c:pt idx="16">
                  <c:v>#N/A</c:v>
                </c:pt>
              </c:numCache>
            </c:numRef>
          </c:yVal>
          <c:smooth val="0"/>
        </c:ser>
        <c:dLbls>
          <c:showLegendKey val="0"/>
          <c:showVal val="0"/>
          <c:showCatName val="0"/>
          <c:showSerName val="0"/>
          <c:showPercent val="0"/>
          <c:showBubbleSize val="0"/>
        </c:dLbls>
        <c:axId val="714620384"/>
        <c:axId val="714622560"/>
      </c:scatterChart>
      <c:valAx>
        <c:axId val="714620384"/>
        <c:scaling>
          <c:orientation val="minMax"/>
        </c:scaling>
        <c:delete val="0"/>
        <c:axPos val="b"/>
        <c:title>
          <c:tx>
            <c:rich>
              <a:bodyPr/>
              <a:lstStyle/>
              <a:p>
                <a:pPr>
                  <a:defRPr/>
                </a:pPr>
                <a:r>
                  <a:rPr lang="en-US"/>
                  <a:t>d(x+)</a:t>
                </a:r>
              </a:p>
            </c:rich>
          </c:tx>
          <c:layout/>
          <c:overlay val="0"/>
        </c:title>
        <c:numFmt formatCode="0.000" sourceLinked="0"/>
        <c:majorTickMark val="out"/>
        <c:minorTickMark val="none"/>
        <c:tickLblPos val="nextTo"/>
        <c:crossAx val="714622560"/>
        <c:crosses val="autoZero"/>
        <c:crossBetween val="midCat"/>
        <c:majorUnit val="2.0000000000000011E-2"/>
      </c:valAx>
      <c:valAx>
        <c:axId val="714622560"/>
        <c:scaling>
          <c:orientation val="minMax"/>
        </c:scaling>
        <c:delete val="0"/>
        <c:axPos val="l"/>
        <c:majorGridlines/>
        <c:title>
          <c:tx>
            <c:rich>
              <a:bodyPr rot="-5400000" vert="horz"/>
              <a:lstStyle/>
              <a:p>
                <a:pPr>
                  <a:defRPr/>
                </a:pPr>
                <a:r>
                  <a:rPr lang="en-US"/>
                  <a:t>n(x+)</a:t>
                </a:r>
              </a:p>
            </c:rich>
          </c:tx>
          <c:layout/>
          <c:overlay val="0"/>
        </c:title>
        <c:numFmt formatCode="0.000" sourceLinked="0"/>
        <c:majorTickMark val="out"/>
        <c:minorTickMark val="none"/>
        <c:tickLblPos val="nextTo"/>
        <c:crossAx val="714620384"/>
        <c:crosses val="autoZero"/>
        <c:crossBetween val="midCat"/>
      </c:valAx>
      <c:spPr>
        <a:solidFill>
          <a:schemeClr val="bg1"/>
        </a:solidFill>
      </c:spPr>
    </c:plotArea>
    <c:legend>
      <c:legendPos val="b"/>
      <c:layout/>
      <c:overlay val="0"/>
    </c:legend>
    <c:plotVisOnly val="1"/>
    <c:dispBlanksAs val="gap"/>
    <c:showDLblsOverMax val="0"/>
  </c:chart>
  <c:spPr>
    <a:solidFill>
      <a:srgbClr val="D7E6E6"/>
    </a:solidFill>
    <a:ln>
      <a:noFill/>
    </a:ln>
  </c:spPr>
  <c:txPr>
    <a:bodyPr/>
    <a:lstStyle/>
    <a:p>
      <a:pPr>
        <a:defRPr sz="1200">
          <a:latin typeface="Verdana" pitchFamily="34" charset="0"/>
          <a:ea typeface="Verdana" pitchFamily="34" charset="0"/>
          <a:cs typeface="Verdana" pitchFamily="34" charset="0"/>
        </a:defRPr>
      </a:pPr>
      <a:endParaRPr lang="pt-BR"/>
    </a:p>
  </c:txPr>
  <c:printSettings>
    <c:headerFooter/>
    <c:pageMargins b="0.75000000000000266" l="0.70000000000000062" r="0.70000000000000062" t="0.75000000000000266"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manualLayout>
          <c:layoutTarget val="inner"/>
          <c:xMode val="edge"/>
          <c:yMode val="edge"/>
          <c:x val="0.1894222960502043"/>
          <c:y val="0.15722823340825609"/>
          <c:w val="0.75212009351544651"/>
          <c:h val="0.63414005192270861"/>
        </c:manualLayout>
      </c:layout>
      <c:scatterChart>
        <c:scatterStyle val="lineMarker"/>
        <c:varyColors val="0"/>
        <c:ser>
          <c:idx val="0"/>
          <c:order val="0"/>
          <c:tx>
            <c:v>Residuals</c:v>
          </c:tx>
          <c:spPr>
            <a:ln>
              <a:solidFill>
                <a:srgbClr val="0070C0"/>
              </a:solidFill>
            </a:ln>
          </c:spPr>
          <c:marker>
            <c:symbol val="square"/>
            <c:size val="5"/>
          </c:marker>
          <c:xVal>
            <c:numRef>
              <c:f>Method!$J$8:$J$23</c:f>
              <c:numCache>
                <c:formatCode>0.00000</c:formatCode>
                <c:ptCount val="16"/>
                <c:pt idx="0">
                  <c:v>6.3603367026233678E-3</c:v>
                </c:pt>
                <c:pt idx="1">
                  <c:v>7.0499925281344474E-3</c:v>
                </c:pt>
                <c:pt idx="2">
                  <c:v>8.216359981787694E-3</c:v>
                </c:pt>
                <c:pt idx="3">
                  <c:v>9.4952229941278436E-3</c:v>
                </c:pt>
                <c:pt idx="4">
                  <c:v>1.112766725743055E-2</c:v>
                </c:pt>
                <c:pt idx="5">
                  <c:v>1.3047188742154645E-2</c:v>
                </c:pt>
                <c:pt idx="6">
                  <c:v>1.528378689741686E-2</c:v>
                </c:pt>
                <c:pt idx="7">
                  <c:v>1.848032994923858E-2</c:v>
                </c:pt>
                <c:pt idx="8">
                  <c:v>2.2391982914407756E-2</c:v>
                </c:pt>
                <c:pt idx="9">
                  <c:v>2.7359700890729814E-2</c:v>
                </c:pt>
                <c:pt idx="10">
                  <c:v>3.42267535203346E-2</c:v>
                </c:pt>
                <c:pt idx="11">
                  <c:v>4.1320583513645565E-2</c:v>
                </c:pt>
                <c:pt idx="12">
                  <c:v>5.4600821490958878E-2</c:v>
                </c:pt>
                <c:pt idx="13">
                  <c:v>6.803416307759691E-2</c:v>
                </c:pt>
                <c:pt idx="14">
                  <c:v>#N/A</c:v>
                </c:pt>
                <c:pt idx="15">
                  <c:v>#N/A</c:v>
                </c:pt>
              </c:numCache>
            </c:numRef>
          </c:xVal>
          <c:yVal>
            <c:numRef>
              <c:f>Method!$M$8:$M$23</c:f>
              <c:numCache>
                <c:formatCode>0.00000</c:formatCode>
                <c:ptCount val="16"/>
                <c:pt idx="0">
                  <c:v>1.5804239431649048E-3</c:v>
                </c:pt>
                <c:pt idx="1">
                  <c:v>1.444133155323872E-3</c:v>
                </c:pt>
                <c:pt idx="2">
                  <c:v>-7.9163938631900826E-4</c:v>
                </c:pt>
                <c:pt idx="3">
                  <c:v>-2.961704280845523E-4</c:v>
                </c:pt>
                <c:pt idx="4">
                  <c:v>2.7757516276816219E-5</c:v>
                </c:pt>
                <c:pt idx="5">
                  <c:v>-1.3873242266179281E-3</c:v>
                </c:pt>
                <c:pt idx="6">
                  <c:v>8.097971170871604E-4</c:v>
                </c:pt>
                <c:pt idx="7">
                  <c:v>2.5306650022808852E-3</c:v>
                </c:pt>
                <c:pt idx="8">
                  <c:v>1.332477355811823E-4</c:v>
                </c:pt>
                <c:pt idx="9">
                  <c:v>-1.7007513374887873E-4</c:v>
                </c:pt>
                <c:pt idx="10">
                  <c:v>-5.4827429007365258E-3</c:v>
                </c:pt>
                <c:pt idx="11">
                  <c:v>-1.8804245184921714E-3</c:v>
                </c:pt>
                <c:pt idx="12">
                  <c:v>3.4823521242841882E-3</c:v>
                </c:pt>
                <c:pt idx="13">
                  <c:v>#N/A</c:v>
                </c:pt>
                <c:pt idx="14">
                  <c:v>#N/A</c:v>
                </c:pt>
                <c:pt idx="15">
                  <c:v>#N/A</c:v>
                </c:pt>
              </c:numCache>
            </c:numRef>
          </c:yVal>
          <c:smooth val="0"/>
        </c:ser>
        <c:dLbls>
          <c:showLegendKey val="0"/>
          <c:showVal val="0"/>
          <c:showCatName val="0"/>
          <c:showSerName val="0"/>
          <c:showPercent val="0"/>
          <c:showBubbleSize val="0"/>
        </c:dLbls>
        <c:axId val="714628544"/>
        <c:axId val="714626912"/>
      </c:scatterChart>
      <c:valAx>
        <c:axId val="714628544"/>
        <c:scaling>
          <c:orientation val="minMax"/>
        </c:scaling>
        <c:delete val="0"/>
        <c:axPos val="b"/>
        <c:title>
          <c:tx>
            <c:rich>
              <a:bodyPr/>
              <a:lstStyle/>
              <a:p>
                <a:pPr>
                  <a:defRPr/>
                </a:pPr>
                <a:r>
                  <a:rPr lang="en-US"/>
                  <a:t>d(x+)</a:t>
                </a:r>
              </a:p>
            </c:rich>
          </c:tx>
          <c:layout/>
          <c:overlay val="0"/>
        </c:title>
        <c:numFmt formatCode="0.000" sourceLinked="0"/>
        <c:majorTickMark val="out"/>
        <c:minorTickMark val="none"/>
        <c:tickLblPos val="nextTo"/>
        <c:crossAx val="714626912"/>
        <c:crosses val="autoZero"/>
        <c:crossBetween val="midCat"/>
        <c:majorUnit val="2.0000000000000011E-2"/>
      </c:valAx>
      <c:valAx>
        <c:axId val="714626912"/>
        <c:scaling>
          <c:orientation val="minMax"/>
        </c:scaling>
        <c:delete val="0"/>
        <c:axPos val="l"/>
        <c:majorGridlines/>
        <c:numFmt formatCode="0.000" sourceLinked="0"/>
        <c:majorTickMark val="out"/>
        <c:minorTickMark val="none"/>
        <c:tickLblPos val="nextTo"/>
        <c:crossAx val="714628544"/>
        <c:crosses val="autoZero"/>
        <c:crossBetween val="midCat"/>
      </c:valAx>
      <c:spPr>
        <a:solidFill>
          <a:schemeClr val="bg1"/>
        </a:solidFill>
      </c:spPr>
    </c:plotArea>
    <c:plotVisOnly val="1"/>
    <c:dispBlanksAs val="gap"/>
    <c:showDLblsOverMax val="0"/>
  </c:chart>
  <c:spPr>
    <a:solidFill>
      <a:srgbClr val="D7E6E6"/>
    </a:solidFill>
    <a:ln>
      <a:noFill/>
    </a:ln>
  </c:spPr>
  <c:txPr>
    <a:bodyPr/>
    <a:lstStyle/>
    <a:p>
      <a:pPr>
        <a:defRPr sz="1200">
          <a:latin typeface="Verdana" pitchFamily="34" charset="0"/>
          <a:ea typeface="Verdana" pitchFamily="34" charset="0"/>
          <a:cs typeface="Verdana" pitchFamily="34" charset="0"/>
        </a:defRPr>
      </a:pPr>
      <a:endParaRPr lang="pt-BR"/>
    </a:p>
  </c:txPr>
  <c:printSettings>
    <c:headerFooter/>
    <c:pageMargins b="0.75000000000000289" l="0.70000000000000062" r="0.70000000000000062" t="0.75000000000000289"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942229605020419"/>
          <c:y val="0.15722823340825604"/>
          <c:w val="0.75212009351544606"/>
          <c:h val="0.63414005192270861"/>
        </c:manualLayout>
      </c:layout>
      <c:scatterChart>
        <c:scatterStyle val="lineMarker"/>
        <c:varyColors val="0"/>
        <c:ser>
          <c:idx val="0"/>
          <c:order val="0"/>
          <c:tx>
            <c:v>Observations</c:v>
          </c:tx>
          <c:spPr>
            <a:ln>
              <a:noFill/>
            </a:ln>
          </c:spPr>
          <c:marker>
            <c:symbol val="square"/>
            <c:size val="5"/>
          </c:marker>
          <c:xVal>
            <c:numRef>
              <c:f>'Mortality rates'!$K$9:$K$25</c:f>
              <c:numCache>
                <c:formatCode>0.0000_)</c:formatCode>
                <c:ptCount val="17"/>
                <c:pt idx="0">
                  <c:v>-2.2505979342666698</c:v>
                </c:pt>
                <c:pt idx="1">
                  <c:v>-1.9585498746774208</c:v>
                </c:pt>
                <c:pt idx="2">
                  <c:v>-1.7059635215249491</c:v>
                </c:pt>
                <c:pt idx="3">
                  <c:v>-1.4928261749237073</c:v>
                </c:pt>
                <c:pt idx="4">
                  <c:v>-1.3226452410536844</c:v>
                </c:pt>
                <c:pt idx="5">
                  <c:v>-1.1766131886173843</c:v>
                </c:pt>
                <c:pt idx="6">
                  <c:v>-1.0446781483104151</c:v>
                </c:pt>
                <c:pt idx="7">
                  <c:v>-0.91944057379661248</c:v>
                </c:pt>
                <c:pt idx="8">
                  <c:v>-0.7925048820508992</c:v>
                </c:pt>
                <c:pt idx="9">
                  <c:v>-0.65144477232807607</c:v>
                </c:pt>
                <c:pt idx="10">
                  <c:v>-0.49464794039967175</c:v>
                </c:pt>
                <c:pt idx="11">
                  <c:v>-0.30738762512432866</c:v>
                </c:pt>
                <c:pt idx="12">
                  <c:v>-8.560519582249751E-2</c:v>
                </c:pt>
                <c:pt idx="13">
                  <c:v>0.18983445421266135</c:v>
                </c:pt>
                <c:pt idx="14">
                  <c:v>0.53729909217546867</c:v>
                </c:pt>
                <c:pt idx="15">
                  <c:v>0.99559980067780607</c:v>
                </c:pt>
                <c:pt idx="16">
                  <c:v>1.6443047888384308</c:v>
                </c:pt>
              </c:numCache>
            </c:numRef>
          </c:xVal>
          <c:yVal>
            <c:numRef>
              <c:f>'Mortality rates'!$I$9:$I$25</c:f>
              <c:numCache>
                <c:formatCode>0.0000_)</c:formatCode>
                <c:ptCount val="17"/>
                <c:pt idx="0">
                  <c:v>-1.9623403615609143</c:v>
                </c:pt>
                <c:pt idx="1">
                  <c:v>-1.7756517111563459</c:v>
                </c:pt>
                <c:pt idx="2">
                  <c:v>-1.5836161470415042</c:v>
                </c:pt>
                <c:pt idx="3">
                  <c:v>-1.4189859832524163</c:v>
                </c:pt>
                <c:pt idx="4">
                  <c:v>-1.2767837921916034</c:v>
                </c:pt>
                <c:pt idx="5">
                  <c:v>-1.1279435465645788</c:v>
                </c:pt>
                <c:pt idx="6">
                  <c:v>-0.99207643589146832</c:v>
                </c:pt>
                <c:pt idx="7">
                  <c:v>-0.85897555395365055</c:v>
                </c:pt>
                <c:pt idx="8">
                  <c:v>-0.72122297132210189</c:v>
                </c:pt>
                <c:pt idx="9">
                  <c:v>-0.57937495798862637</c:v>
                </c:pt>
                <c:pt idx="10">
                  <c:v>-0.41271753121076171</c:v>
                </c:pt>
                <c:pt idx="11">
                  <c:v>-0.21856496923841146</c:v>
                </c:pt>
                <c:pt idx="12">
                  <c:v>-1.1431636688776224E-2</c:v>
                </c:pt>
                <c:pt idx="13">
                  <c:v>0.2368852392221899</c:v>
                </c:pt>
                <c:pt idx="14">
                  <c:v>#N/A</c:v>
                </c:pt>
                <c:pt idx="15">
                  <c:v>#N/A</c:v>
                </c:pt>
                <c:pt idx="16">
                  <c:v>#N/A</c:v>
                </c:pt>
              </c:numCache>
            </c:numRef>
          </c:yVal>
          <c:smooth val="0"/>
        </c:ser>
        <c:ser>
          <c:idx val="1"/>
          <c:order val="1"/>
          <c:tx>
            <c:v>Fit</c:v>
          </c:tx>
          <c:spPr>
            <a:ln>
              <a:solidFill>
                <a:srgbClr val="FF66FF"/>
              </a:solidFill>
              <a:prstDash val="solid"/>
            </a:ln>
          </c:spPr>
          <c:marker>
            <c:symbol val="none"/>
          </c:marker>
          <c:xVal>
            <c:numRef>
              <c:f>'Mortality rates'!$K$9:$K$25</c:f>
              <c:numCache>
                <c:formatCode>0.0000_)</c:formatCode>
                <c:ptCount val="17"/>
                <c:pt idx="0">
                  <c:v>-2.2505979342666698</c:v>
                </c:pt>
                <c:pt idx="1">
                  <c:v>-1.9585498746774208</c:v>
                </c:pt>
                <c:pt idx="2">
                  <c:v>-1.7059635215249491</c:v>
                </c:pt>
                <c:pt idx="3">
                  <c:v>-1.4928261749237073</c:v>
                </c:pt>
                <c:pt idx="4">
                  <c:v>-1.3226452410536844</c:v>
                </c:pt>
                <c:pt idx="5">
                  <c:v>-1.1766131886173843</c:v>
                </c:pt>
                <c:pt idx="6">
                  <c:v>-1.0446781483104151</c:v>
                </c:pt>
                <c:pt idx="7">
                  <c:v>-0.91944057379661248</c:v>
                </c:pt>
                <c:pt idx="8">
                  <c:v>-0.7925048820508992</c:v>
                </c:pt>
                <c:pt idx="9">
                  <c:v>-0.65144477232807607</c:v>
                </c:pt>
                <c:pt idx="10">
                  <c:v>-0.49464794039967175</c:v>
                </c:pt>
                <c:pt idx="11">
                  <c:v>-0.30738762512432866</c:v>
                </c:pt>
                <c:pt idx="12">
                  <c:v>-8.560519582249751E-2</c:v>
                </c:pt>
                <c:pt idx="13">
                  <c:v>0.18983445421266135</c:v>
                </c:pt>
                <c:pt idx="14">
                  <c:v>0.53729909217546867</c:v>
                </c:pt>
                <c:pt idx="15">
                  <c:v>0.99559980067780607</c:v>
                </c:pt>
                <c:pt idx="16">
                  <c:v>1.6443047888384308</c:v>
                </c:pt>
              </c:numCache>
            </c:numRef>
          </c:xVal>
          <c:yVal>
            <c:numRef>
              <c:f>'Mortality rates'!$L$9:$L$25</c:f>
              <c:numCache>
                <c:formatCode>0.0000_)</c:formatCode>
                <c:ptCount val="17"/>
                <c:pt idx="0">
                  <c:v>-2.1653958600912588</c:v>
                </c:pt>
                <c:pt idx="1">
                  <c:v>-1.875662935445533</c:v>
                </c:pt>
                <c:pt idx="2">
                  <c:v>-1.6250788948345753</c:v>
                </c:pt>
                <c:pt idx="3">
                  <c:v>-1.4136311390478737</c:v>
                </c:pt>
                <c:pt idx="4">
                  <c:v>-1.2447992702162491</c:v>
                </c:pt>
                <c:pt idx="5">
                  <c:v>-1.0999248488491133</c:v>
                </c:pt>
                <c:pt idx="6">
                  <c:v>-0.9690356892184937</c:v>
                </c:pt>
                <c:pt idx="7">
                  <c:v>-0.84479090296497539</c:v>
                </c:pt>
                <c:pt idx="8">
                  <c:v>-0.7188614608617151</c:v>
                </c:pt>
                <c:pt idx="9">
                  <c:v>-0.57891956842688164</c:v>
                </c:pt>
                <c:pt idx="10">
                  <c:v>-0.42336570255393308</c:v>
                </c:pt>
                <c:pt idx="11">
                  <c:v>-0.23758984466563393</c:v>
                </c:pt>
                <c:pt idx="12">
                  <c:v>-1.7565537820285665E-2</c:v>
                </c:pt>
                <c:pt idx="13">
                  <c:v>0.25569063611328552</c:v>
                </c:pt>
                <c:pt idx="14">
                  <c:v>0.60040083863790605</c:v>
                </c:pt>
                <c:pt idx="15">
                  <c:v>1.055068487614399</c:v>
                </c:pt>
                <c:pt idx="16">
                  <c:v>1.6986310359031727</c:v>
                </c:pt>
              </c:numCache>
            </c:numRef>
          </c:yVal>
          <c:smooth val="0"/>
        </c:ser>
        <c:dLbls>
          <c:showLegendKey val="0"/>
          <c:showVal val="0"/>
          <c:showCatName val="0"/>
          <c:showSerName val="0"/>
          <c:showPercent val="0"/>
          <c:showBubbleSize val="0"/>
        </c:dLbls>
        <c:axId val="714614944"/>
        <c:axId val="714622016"/>
      </c:scatterChart>
      <c:valAx>
        <c:axId val="714614944"/>
        <c:scaling>
          <c:orientation val="minMax"/>
        </c:scaling>
        <c:delete val="0"/>
        <c:axPos val="b"/>
        <c:title>
          <c:tx>
            <c:rich>
              <a:bodyPr/>
              <a:lstStyle/>
              <a:p>
                <a:pPr>
                  <a:defRPr/>
                </a:pPr>
                <a:r>
                  <a:rPr lang="en-US"/>
                  <a:t>Ys(x)</a:t>
                </a:r>
              </a:p>
            </c:rich>
          </c:tx>
          <c:overlay val="0"/>
        </c:title>
        <c:numFmt formatCode="0.00" sourceLinked="0"/>
        <c:majorTickMark val="out"/>
        <c:minorTickMark val="none"/>
        <c:tickLblPos val="low"/>
        <c:crossAx val="714622016"/>
        <c:crossesAt val="0"/>
        <c:crossBetween val="midCat"/>
      </c:valAx>
      <c:valAx>
        <c:axId val="714622016"/>
        <c:scaling>
          <c:orientation val="minMax"/>
        </c:scaling>
        <c:delete val="0"/>
        <c:axPos val="l"/>
        <c:majorGridlines>
          <c:spPr>
            <a:ln>
              <a:noFill/>
            </a:ln>
          </c:spPr>
        </c:majorGridlines>
        <c:title>
          <c:tx>
            <c:rich>
              <a:bodyPr rot="-5400000" vert="horz"/>
              <a:lstStyle/>
              <a:p>
                <a:pPr>
                  <a:defRPr/>
                </a:pPr>
                <a:r>
                  <a:rPr lang="en-US"/>
                  <a:t>Y(x)</a:t>
                </a:r>
              </a:p>
            </c:rich>
          </c:tx>
          <c:overlay val="0"/>
        </c:title>
        <c:numFmt formatCode="0.00" sourceLinked="0"/>
        <c:majorTickMark val="out"/>
        <c:minorTickMark val="none"/>
        <c:tickLblPos val="low"/>
        <c:crossAx val="714614944"/>
        <c:crossesAt val="0"/>
        <c:crossBetween val="midCat"/>
      </c:valAx>
      <c:spPr>
        <a:solidFill>
          <a:schemeClr val="bg1"/>
        </a:solidFill>
      </c:spPr>
    </c:plotArea>
    <c:legend>
      <c:legendPos val="b"/>
      <c:overlay val="0"/>
    </c:legend>
    <c:plotVisOnly val="1"/>
    <c:dispBlanksAs val="gap"/>
    <c:showDLblsOverMax val="0"/>
  </c:chart>
  <c:spPr>
    <a:solidFill>
      <a:srgbClr val="D7E6E6"/>
    </a:solidFill>
    <a:ln>
      <a:noFill/>
    </a:ln>
  </c:spPr>
  <c:txPr>
    <a:bodyPr/>
    <a:lstStyle/>
    <a:p>
      <a:pPr>
        <a:defRPr sz="1200">
          <a:latin typeface="Verdana" pitchFamily="34" charset="0"/>
          <a:ea typeface="Verdana" pitchFamily="34" charset="0"/>
          <a:cs typeface="Verdana" pitchFamily="34" charset="0"/>
        </a:defRPr>
      </a:pPr>
      <a:endParaRPr lang="pt-BR"/>
    </a:p>
  </c:txPr>
  <c:printSettings>
    <c:headerFooter/>
    <c:pageMargins b="0.75000000000000266" l="0.70000000000000062" r="0.70000000000000062" t="0.75000000000000266"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94222960502043"/>
          <c:y val="0.15722823340825609"/>
          <c:w val="0.75212009351544651"/>
          <c:h val="0.63414005192270861"/>
        </c:manualLayout>
      </c:layout>
      <c:scatterChart>
        <c:scatterStyle val="lineMarker"/>
        <c:varyColors val="0"/>
        <c:ser>
          <c:idx val="0"/>
          <c:order val="0"/>
          <c:tx>
            <c:v>Adjusted</c:v>
          </c:tx>
          <c:spPr>
            <a:ln>
              <a:noFill/>
            </a:ln>
          </c:spPr>
          <c:marker>
            <c:symbol val="square"/>
            <c:size val="5"/>
          </c:marker>
          <c:xVal>
            <c:numRef>
              <c:f>'Mortality rates'!$F$8:$F$23</c:f>
              <c:numCache>
                <c:formatCode>General</c:formatCode>
                <c:ptCount val="16"/>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numCache>
            </c:numRef>
          </c:xVal>
          <c:yVal>
            <c:numRef>
              <c:f>'Mortality rates'!$E$8:$E$23</c:f>
              <c:numCache>
                <c:formatCode>0.0000</c:formatCode>
                <c:ptCount val="16"/>
                <c:pt idx="0">
                  <c:v>3.911069454777762E-3</c:v>
                </c:pt>
                <c:pt idx="1">
                  <c:v>1.7454846692323972E-3</c:v>
                </c:pt>
                <c:pt idx="2">
                  <c:v>2.5946961346350978E-3</c:v>
                </c:pt>
                <c:pt idx="3">
                  <c:v>3.1274417261882848E-3</c:v>
                </c:pt>
                <c:pt idx="4">
                  <c:v>3.6060276888258049E-3</c:v>
                </c:pt>
                <c:pt idx="5">
                  <c:v>4.9440390171562685E-3</c:v>
                </c:pt>
                <c:pt idx="6">
                  <c:v>5.8362961137365275E-3</c:v>
                </c:pt>
                <c:pt idx="7">
                  <c:v>7.2399875021274219E-3</c:v>
                </c:pt>
                <c:pt idx="8">
                  <c:v>9.4239522029476216E-3</c:v>
                </c:pt>
                <c:pt idx="9">
                  <c:v>1.2160383654111533E-2</c:v>
                </c:pt>
                <c:pt idx="10">
                  <c:v>1.8047900119813328E-2</c:v>
                </c:pt>
                <c:pt idx="11">
                  <c:v>2.6958199390875202E-2</c:v>
                </c:pt>
                <c:pt idx="12">
                  <c:v>3.6597588924941894E-2</c:v>
                </c:pt>
                <c:pt idx="13">
                  <c:v>5.4862110281086049E-2</c:v>
                </c:pt>
                <c:pt idx="14">
                  <c:v>0.10243902251406571</c:v>
                </c:pt>
                <c:pt idx="15">
                  <c:v>#N/A</c:v>
                </c:pt>
              </c:numCache>
            </c:numRef>
          </c:yVal>
          <c:smooth val="0"/>
        </c:ser>
        <c:ser>
          <c:idx val="1"/>
          <c:order val="1"/>
          <c:tx>
            <c:v>Fitted</c:v>
          </c:tx>
          <c:spPr>
            <a:ln w="28575">
              <a:solidFill>
                <a:srgbClr val="FF00FF"/>
              </a:solidFill>
            </a:ln>
          </c:spPr>
          <c:marker>
            <c:symbol val="none"/>
          </c:marker>
          <c:xVal>
            <c:numRef>
              <c:f>'Mortality rates'!$F$8:$F$23</c:f>
              <c:numCache>
                <c:formatCode>General</c:formatCode>
                <c:ptCount val="16"/>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numCache>
            </c:numRef>
          </c:xVal>
          <c:yVal>
            <c:numRef>
              <c:f>'Mortality rates'!$P$8:$P$23</c:f>
              <c:numCache>
                <c:formatCode>0.0000</c:formatCode>
                <c:ptCount val="16"/>
                <c:pt idx="0">
                  <c:v>2.6142274597191172E-3</c:v>
                </c:pt>
                <c:pt idx="1">
                  <c:v>2.0287217370105457E-3</c:v>
                </c:pt>
                <c:pt idx="2">
                  <c:v>2.9640384003831338E-3</c:v>
                </c:pt>
                <c:pt idx="3">
                  <c:v>3.8907726908597173E-3</c:v>
                </c:pt>
                <c:pt idx="4">
                  <c:v>4.438340674855581E-3</c:v>
                </c:pt>
                <c:pt idx="5">
                  <c:v>5.0828743878235851E-3</c:v>
                </c:pt>
                <c:pt idx="6">
                  <c:v>5.8828342713270112E-3</c:v>
                </c:pt>
                <c:pt idx="7">
                  <c:v>6.9768478591272151E-3</c:v>
                </c:pt>
                <c:pt idx="8">
                  <c:v>8.7315873818102196E-3</c:v>
                </c:pt>
                <c:pt idx="9">
                  <c:v>1.2023118045023252E-2</c:v>
                </c:pt>
                <c:pt idx="10">
                  <c:v>1.671904414907412E-2</c:v>
                </c:pt>
                <c:pt idx="11">
                  <c:v>2.530123147388421E-2</c:v>
                </c:pt>
                <c:pt idx="12">
                  <c:v>3.8325216047624969E-2</c:v>
                </c:pt>
                <c:pt idx="13">
                  <c:v>6.0617591825300673E-2</c:v>
                </c:pt>
                <c:pt idx="14">
                  <c:v>9.4712355329828926E-2</c:v>
                </c:pt>
                <c:pt idx="15">
                  <c:v>0.14519707540108093</c:v>
                </c:pt>
              </c:numCache>
            </c:numRef>
          </c:yVal>
          <c:smooth val="0"/>
        </c:ser>
        <c:dLbls>
          <c:showLegendKey val="0"/>
          <c:showVal val="0"/>
          <c:showCatName val="0"/>
          <c:showSerName val="0"/>
          <c:showPercent val="0"/>
          <c:showBubbleSize val="0"/>
        </c:dLbls>
        <c:axId val="714625280"/>
        <c:axId val="714625824"/>
      </c:scatterChart>
      <c:valAx>
        <c:axId val="714625280"/>
        <c:scaling>
          <c:orientation val="minMax"/>
          <c:max val="80"/>
        </c:scaling>
        <c:delete val="0"/>
        <c:axPos val="b"/>
        <c:numFmt formatCode="0" sourceLinked="0"/>
        <c:majorTickMark val="out"/>
        <c:minorTickMark val="none"/>
        <c:tickLblPos val="nextTo"/>
        <c:crossAx val="714625824"/>
        <c:crosses val="autoZero"/>
        <c:crossBetween val="midCat"/>
      </c:valAx>
      <c:valAx>
        <c:axId val="714625824"/>
        <c:scaling>
          <c:orientation val="minMax"/>
        </c:scaling>
        <c:delete val="0"/>
        <c:axPos val="l"/>
        <c:majorGridlines/>
        <c:title>
          <c:tx>
            <c:rich>
              <a:bodyPr rot="-5400000" vert="horz"/>
              <a:lstStyle/>
              <a:p>
                <a:pPr>
                  <a:defRPr/>
                </a:pPr>
                <a:r>
                  <a:rPr lang="en-US"/>
                  <a:t>5mx</a:t>
                </a:r>
              </a:p>
            </c:rich>
          </c:tx>
          <c:overlay val="0"/>
        </c:title>
        <c:numFmt formatCode="0.00" sourceLinked="0"/>
        <c:majorTickMark val="out"/>
        <c:minorTickMark val="none"/>
        <c:tickLblPos val="nextTo"/>
        <c:crossAx val="714625280"/>
        <c:crosses val="autoZero"/>
        <c:crossBetween val="midCat"/>
      </c:valAx>
      <c:spPr>
        <a:solidFill>
          <a:schemeClr val="bg1"/>
        </a:solidFill>
      </c:spPr>
    </c:plotArea>
    <c:legend>
      <c:legendPos val="b"/>
      <c:overlay val="0"/>
    </c:legend>
    <c:plotVisOnly val="1"/>
    <c:dispBlanksAs val="gap"/>
    <c:showDLblsOverMax val="0"/>
  </c:chart>
  <c:spPr>
    <a:solidFill>
      <a:srgbClr val="D7E6E6"/>
    </a:solidFill>
    <a:ln>
      <a:noFill/>
    </a:ln>
  </c:spPr>
  <c:txPr>
    <a:bodyPr/>
    <a:lstStyle/>
    <a:p>
      <a:pPr>
        <a:defRPr sz="1200">
          <a:latin typeface="Verdana" pitchFamily="34" charset="0"/>
          <a:ea typeface="Verdana" pitchFamily="34" charset="0"/>
          <a:cs typeface="Verdana" pitchFamily="34" charset="0"/>
        </a:defRPr>
      </a:pPr>
      <a:endParaRPr lang="pt-BR"/>
    </a:p>
  </c:txPr>
  <c:printSettings>
    <c:headerFooter/>
    <c:pageMargins b="0.75000000000000289" l="0.70000000000000062" r="0.70000000000000062" t="0.75000000000000289"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13</xdr:col>
      <xdr:colOff>63501</xdr:colOff>
      <xdr:row>0</xdr:row>
      <xdr:rowOff>0</xdr:rowOff>
    </xdr:from>
    <xdr:to>
      <xdr:col>18</xdr:col>
      <xdr:colOff>428625</xdr:colOff>
      <xdr:row>16</xdr:row>
      <xdr:rowOff>28575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63500</xdr:colOff>
      <xdr:row>16</xdr:row>
      <xdr:rowOff>41275</xdr:rowOff>
    </xdr:from>
    <xdr:to>
      <xdr:col>18</xdr:col>
      <xdr:colOff>438150</xdr:colOff>
      <xdr:row>30</xdr:row>
      <xdr:rowOff>76200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63500</xdr:colOff>
      <xdr:row>0</xdr:row>
      <xdr:rowOff>1</xdr:rowOff>
    </xdr:from>
    <xdr:to>
      <xdr:col>25</xdr:col>
      <xdr:colOff>19050</xdr:colOff>
      <xdr:row>15</xdr:row>
      <xdr:rowOff>1</xdr:rowOff>
    </xdr:to>
    <xdr:graphicFrame macro="">
      <xdr:nvGraphicFramePr>
        <xdr:cNvPr id="4"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19050</xdr:colOff>
      <xdr:row>15</xdr:row>
      <xdr:rowOff>19050</xdr:rowOff>
    </xdr:from>
    <xdr:to>
      <xdr:col>25</xdr:col>
      <xdr:colOff>47625</xdr:colOff>
      <xdr:row>30</xdr:row>
      <xdr:rowOff>76200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538834</xdr:colOff>
      <xdr:row>36</xdr:row>
      <xdr:rowOff>138600</xdr:rowOff>
    </xdr:to>
    <xdr:grpSp>
      <xdr:nvGrpSpPr>
        <xdr:cNvPr id="2" name="Group 1"/>
        <xdr:cNvGrpSpPr/>
      </xdr:nvGrpSpPr>
      <xdr:grpSpPr>
        <a:xfrm>
          <a:off x="0" y="0"/>
          <a:ext cx="9682834" cy="6234600"/>
          <a:chOff x="0" y="0"/>
          <a:chExt cx="9746334" cy="5853600"/>
        </a:xfrm>
      </xdr:grpSpPr>
      <xdr:graphicFrame macro="">
        <xdr:nvGraphicFramePr>
          <xdr:cNvPr id="3" name="Chart 2"/>
          <xdr:cNvGraphicFramePr>
            <a:graphicFrameLocks/>
          </xdr:cNvGraphicFramePr>
        </xdr:nvGraphicFramePr>
        <xdr:xfrm>
          <a:off x="0" y="0"/>
          <a:ext cx="4878000" cy="58536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5" name="Chart 4"/>
          <xdr:cNvGraphicFramePr>
            <a:graphicFrameLocks/>
          </xdr:cNvGraphicFramePr>
        </xdr:nvGraphicFramePr>
        <xdr:xfrm>
          <a:off x="4868334" y="0"/>
          <a:ext cx="4878000" cy="5853600"/>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0</xdr:col>
      <xdr:colOff>0</xdr:colOff>
      <xdr:row>37</xdr:row>
      <xdr:rowOff>0</xdr:rowOff>
    </xdr:from>
    <xdr:to>
      <xdr:col>15</xdr:col>
      <xdr:colOff>538833</xdr:colOff>
      <xdr:row>73</xdr:row>
      <xdr:rowOff>138601</xdr:rowOff>
    </xdr:to>
    <xdr:grpSp>
      <xdr:nvGrpSpPr>
        <xdr:cNvPr id="4" name="Group 3"/>
        <xdr:cNvGrpSpPr/>
      </xdr:nvGrpSpPr>
      <xdr:grpSpPr>
        <a:xfrm>
          <a:off x="0" y="6265333"/>
          <a:ext cx="9682833" cy="6234601"/>
          <a:chOff x="0" y="5873750"/>
          <a:chExt cx="9746333" cy="5853601"/>
        </a:xfrm>
      </xdr:grpSpPr>
      <xdr:graphicFrame macro="">
        <xdr:nvGraphicFramePr>
          <xdr:cNvPr id="11" name="Chart 10"/>
          <xdr:cNvGraphicFramePr>
            <a:graphicFrameLocks/>
          </xdr:cNvGraphicFramePr>
        </xdr:nvGraphicFramePr>
        <xdr:xfrm>
          <a:off x="0" y="5873750"/>
          <a:ext cx="4878000" cy="585360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12" name="Chart 11"/>
          <xdr:cNvGraphicFramePr>
            <a:graphicFrameLocks/>
          </xdr:cNvGraphicFramePr>
        </xdr:nvGraphicFramePr>
        <xdr:xfrm>
          <a:off x="4868333" y="5873751"/>
          <a:ext cx="4878000" cy="5853600"/>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emp/garbage.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DOR~1/AppData/Local/Temp/XPgrpwise/Synthetic%20orphanhood%20method%20Kenya%20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ROBDOR~1/AppData/Local/Temp/XPgrpwise/AM_Orphanhood_OneCensus_AIDS%20Kenya_1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emp/Gompertz_C9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Raw Data"/>
      <sheetName val="El-Badry correction"/>
      <sheetName val="El-Badry (2)"/>
      <sheetName val="Adj. CEB 1, BLYR 1 (2)"/>
      <sheetName val="GOMP (2)"/>
      <sheetName val="Summary ASFRs &amp; TFRs (2)"/>
      <sheetName val="Deadkids correction to CEB"/>
      <sheetName val="Manipulations"/>
      <sheetName val="Adj. CEB 1, BLYR 1"/>
      <sheetName val="Summary ASFRs &amp; TFRs"/>
      <sheetName val="GOMP"/>
      <sheetName val="COMPARE"/>
    </sheetNames>
    <sheetDataSet>
      <sheetData sheetId="0"/>
      <sheetData sheetId="1"/>
      <sheetData sheetId="2"/>
      <sheetData sheetId="3"/>
      <sheetData sheetId="4"/>
      <sheetData sheetId="5"/>
      <sheetData sheetId="6"/>
      <sheetData sheetId="7">
        <row r="4">
          <cell r="V4">
            <v>0</v>
          </cell>
        </row>
        <row r="5">
          <cell r="V5">
            <v>2.828820313291569E-3</v>
          </cell>
        </row>
        <row r="6">
          <cell r="V6">
            <v>1.7220218111561159E-2</v>
          </cell>
        </row>
        <row r="7">
          <cell r="V7">
            <v>3.7969882467608018E-2</v>
          </cell>
        </row>
        <row r="8">
          <cell r="V8">
            <v>6.5031650686778519E-2</v>
          </cell>
        </row>
        <row r="9">
          <cell r="V9">
            <v>9.8023575185855361E-2</v>
          </cell>
        </row>
        <row r="10">
          <cell r="V10">
            <v>0.13739063721012457</v>
          </cell>
        </row>
        <row r="11">
          <cell r="V11">
            <v>0.18277562370487033</v>
          </cell>
        </row>
        <row r="26">
          <cell r="AA26">
            <v>36</v>
          </cell>
          <cell r="AB26">
            <v>0.23556002000000001</v>
          </cell>
          <cell r="AC26">
            <v>223</v>
          </cell>
        </row>
        <row r="27">
          <cell r="AA27">
            <v>37</v>
          </cell>
          <cell r="AB27">
            <v>0.35120604999999999</v>
          </cell>
          <cell r="AC27">
            <v>222</v>
          </cell>
        </row>
        <row r="28">
          <cell r="AA28">
            <v>38</v>
          </cell>
          <cell r="AB28">
            <v>0.25579874000000002</v>
          </cell>
          <cell r="AC28">
            <v>226</v>
          </cell>
        </row>
        <row r="29">
          <cell r="AA29">
            <v>39</v>
          </cell>
          <cell r="AB29">
            <v>0.36016730000000002</v>
          </cell>
          <cell r="AC29">
            <v>252</v>
          </cell>
        </row>
        <row r="30">
          <cell r="AA30">
            <v>40</v>
          </cell>
          <cell r="AB30">
            <v>0.39299674000000001</v>
          </cell>
          <cell r="AC30">
            <v>222</v>
          </cell>
        </row>
        <row r="31">
          <cell r="AA31">
            <v>41</v>
          </cell>
          <cell r="AB31">
            <v>0.44260072</v>
          </cell>
          <cell r="AC31">
            <v>172</v>
          </cell>
        </row>
        <row r="32">
          <cell r="AA32">
            <v>42</v>
          </cell>
          <cell r="AB32">
            <v>0.48064695000000002</v>
          </cell>
          <cell r="AC32">
            <v>195</v>
          </cell>
        </row>
        <row r="33">
          <cell r="AA33">
            <v>43</v>
          </cell>
          <cell r="AB33">
            <v>0.54062270999999995</v>
          </cell>
          <cell r="AC33">
            <v>160</v>
          </cell>
        </row>
        <row r="34">
          <cell r="AA34">
            <v>44</v>
          </cell>
          <cell r="AB34">
            <v>0.32306489999999999</v>
          </cell>
          <cell r="AC34">
            <v>162</v>
          </cell>
        </row>
        <row r="35">
          <cell r="AA35">
            <v>45</v>
          </cell>
          <cell r="AB35">
            <v>0.46572206999999999</v>
          </cell>
          <cell r="AC35">
            <v>176</v>
          </cell>
        </row>
        <row r="36">
          <cell r="AA36">
            <v>46</v>
          </cell>
          <cell r="AB36">
            <v>0.63649986000000003</v>
          </cell>
          <cell r="AC36">
            <v>126</v>
          </cell>
        </row>
        <row r="37">
          <cell r="AA37">
            <v>47</v>
          </cell>
          <cell r="AB37">
            <v>0.51730050000000005</v>
          </cell>
          <cell r="AC37">
            <v>151</v>
          </cell>
        </row>
        <row r="38">
          <cell r="AA38">
            <v>48</v>
          </cell>
          <cell r="AB38">
            <v>0.75751767000000003</v>
          </cell>
          <cell r="AC38">
            <v>122</v>
          </cell>
        </row>
        <row r="39">
          <cell r="AA39">
            <v>49</v>
          </cell>
          <cell r="AB39">
            <v>0.54258373999999998</v>
          </cell>
          <cell r="AC39">
            <v>93</v>
          </cell>
        </row>
      </sheetData>
      <sheetData sheetId="8"/>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Model data"/>
      <sheetName val="Maternal orphanhood"/>
      <sheetName val="Paternal orphanhood"/>
      <sheetName val="Graphs"/>
    </sheetNames>
    <sheetDataSet>
      <sheetData sheetId="0">
        <row r="11">
          <cell r="D11" t="str">
            <v>UN General</v>
          </cell>
        </row>
      </sheetData>
      <sheetData sheetId="1"/>
      <sheetData sheetId="2">
        <row r="1">
          <cell r="S1">
            <v>1999.65</v>
          </cell>
        </row>
        <row r="57">
          <cell r="D57">
            <v>26.750483870967741</v>
          </cell>
        </row>
      </sheetData>
      <sheetData sheetId="3">
        <row r="43">
          <cell r="C43">
            <v>32.96050811424012</v>
          </cell>
        </row>
      </sheetData>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Model data"/>
      <sheetName val="Maternal orphanhood"/>
      <sheetName val="Paternal orphanhood"/>
      <sheetName val="Charts"/>
    </sheetNames>
    <sheetDataSet>
      <sheetData sheetId="0">
        <row r="11">
          <cell r="D11" t="str">
            <v>Princeton South</v>
          </cell>
        </row>
      </sheetData>
      <sheetData sheetId="1"/>
      <sheetData sheetId="2">
        <row r="1">
          <cell r="T1">
            <v>1999.65</v>
          </cell>
        </row>
        <row r="43">
          <cell r="D43">
            <v>26.750483870967741</v>
          </cell>
        </row>
      </sheetData>
      <sheetData sheetId="3">
        <row r="31">
          <cell r="C31">
            <v>32.96050811424012</v>
          </cell>
        </row>
      </sheetData>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OMP"/>
      <sheetName val="COMPARE"/>
      <sheetName val="ADJUST"/>
      <sheetName val="Feeney adj. TFR"/>
    </sheetNames>
    <sheetDataSet>
      <sheetData sheetId="0">
        <row r="3">
          <cell r="V3" t="str">
            <v xml:space="preserve"> </v>
          </cell>
          <cell r="W3">
            <v>-2.4021090835736705</v>
          </cell>
          <cell r="X3" t="e">
            <v>#N/A</v>
          </cell>
          <cell r="Y3">
            <v>-2.4986293679400342</v>
          </cell>
        </row>
        <row r="4">
          <cell r="V4" t="str">
            <v xml:space="preserve">  F20</v>
          </cell>
          <cell r="W4">
            <v>-1.4501268260865627</v>
          </cell>
          <cell r="X4">
            <v>-1.507615229605147</v>
          </cell>
          <cell r="Y4">
            <v>-1.5444845080549436</v>
          </cell>
        </row>
        <row r="5">
          <cell r="V5" t="str">
            <v xml:space="preserve">  F25</v>
          </cell>
          <cell r="W5">
            <v>-0.74298121534953399</v>
          </cell>
          <cell r="X5">
            <v>-0.87023508247751102</v>
          </cell>
          <cell r="Y5">
            <v>-0.83573248629347074</v>
          </cell>
        </row>
        <row r="6">
          <cell r="V6" t="str">
            <v xml:space="preserve">  F30</v>
          </cell>
          <cell r="W6">
            <v>-3.8167221418934326E-2</v>
          </cell>
          <cell r="X6">
            <v>-0.16344409305232799</v>
          </cell>
          <cell r="Y6">
            <v>-0.12931737803388188</v>
          </cell>
        </row>
        <row r="7">
          <cell r="V7" t="str">
            <v xml:space="preserve">  F35</v>
          </cell>
          <cell r="W7">
            <v>0.83562685790156843</v>
          </cell>
          <cell r="X7">
            <v>0.77821183247006775</v>
          </cell>
          <cell r="Y7">
            <v>0.74646168488943454</v>
          </cell>
        </row>
        <row r="8">
          <cell r="V8" t="str">
            <v xml:space="preserve"> </v>
          </cell>
          <cell r="W8">
            <v>2.1649127615274719</v>
          </cell>
          <cell r="X8" t="e">
            <v>#N/A</v>
          </cell>
          <cell r="Y8">
            <v>2.0787673053852451</v>
          </cell>
        </row>
        <row r="9">
          <cell r="V9" t="str">
            <v xml:space="preserve"> </v>
          </cell>
          <cell r="W9">
            <v>4.4556107747849927</v>
          </cell>
          <cell r="X9" t="e">
            <v>#N/A</v>
          </cell>
          <cell r="Y9">
            <v>4.3746690595502917</v>
          </cell>
        </row>
        <row r="12">
          <cell r="V12" t="str">
            <v xml:space="preserve"> </v>
          </cell>
          <cell r="W12">
            <v>-2.6450203494436626</v>
          </cell>
          <cell r="X12" t="e">
            <v>#N/A</v>
          </cell>
          <cell r="Y12">
            <v>-2.4175489202337466</v>
          </cell>
        </row>
        <row r="13">
          <cell r="V13" t="str">
            <v xml:space="preserve">  P20</v>
          </cell>
          <cell r="W13">
            <v>-1.743792567240362</v>
          </cell>
          <cell r="X13">
            <v>-1.6111279326936219</v>
          </cell>
          <cell r="Y13">
            <v>-1.6445684703685801</v>
          </cell>
        </row>
        <row r="14">
          <cell r="V14" t="str">
            <v xml:space="preserve">  P25</v>
          </cell>
          <cell r="W14">
            <v>-1.0156961788944672</v>
          </cell>
          <cell r="X14">
            <v>-1.0220034711598767</v>
          </cell>
          <cell r="Y14">
            <v>-1.0200823139022515</v>
          </cell>
        </row>
        <row r="15">
          <cell r="V15" t="str">
            <v xml:space="preserve">  P30</v>
          </cell>
          <cell r="W15">
            <v>-0.33548833339317602</v>
          </cell>
          <cell r="X15">
            <v>-0.52730233551108063</v>
          </cell>
          <cell r="Y15">
            <v>-0.4366700214716176</v>
          </cell>
        </row>
        <row r="16">
          <cell r="V16" t="str">
            <v xml:space="preserve">  P35</v>
          </cell>
          <cell r="W16">
            <v>0.43909113247098358</v>
          </cell>
          <cell r="X16">
            <v>0.28679746912635884</v>
          </cell>
          <cell r="Y16">
            <v>0.2276845355042289</v>
          </cell>
        </row>
        <row r="17">
          <cell r="V17" t="str">
            <v xml:space="preserve"> </v>
          </cell>
          <cell r="W17">
            <v>1.5116837766574984</v>
          </cell>
          <cell r="X17" t="e">
            <v>#N/A</v>
          </cell>
          <cell r="Y17">
            <v>1.1476441295132076</v>
          </cell>
        </row>
        <row r="18">
          <cell r="V18" t="str">
            <v xml:space="preserve"> </v>
          </cell>
          <cell r="W18">
            <v>3.2103875700248783</v>
          </cell>
          <cell r="X18" t="e">
            <v>#N/A</v>
          </cell>
          <cell r="Y18">
            <v>2.6046174367215493</v>
          </cell>
        </row>
        <row r="19">
          <cell r="V19" t="str">
            <v xml:space="preserve"> </v>
          </cell>
          <cell r="W19">
            <v>6.0547232610015094</v>
          </cell>
          <cell r="Y19">
            <v>5.0441958933505049</v>
          </cell>
        </row>
        <row r="26">
          <cell r="Y26">
            <v>13.5</v>
          </cell>
          <cell r="Z26">
            <v>3.4942844948396688E-2</v>
          </cell>
          <cell r="AB26" t="str">
            <v>P</v>
          </cell>
          <cell r="AC26">
            <v>4.7745730018919647E-3</v>
          </cell>
          <cell r="AE26">
            <v>3.8700760144216373</v>
          </cell>
          <cell r="AF26" t="str">
            <v>shape:</v>
          </cell>
        </row>
        <row r="27">
          <cell r="Y27">
            <v>17.5</v>
          </cell>
          <cell r="Z27">
            <v>0.21084286445625874</v>
          </cell>
          <cell r="AB27" t="str">
            <v>P</v>
          </cell>
          <cell r="AC27">
            <v>0.21314937495649397</v>
          </cell>
        </row>
        <row r="28">
          <cell r="Y28">
            <v>22.5</v>
          </cell>
          <cell r="Z28">
            <v>0.83731857700906287</v>
          </cell>
          <cell r="AB28" t="str">
            <v>P</v>
          </cell>
          <cell r="AC28">
            <v>0.86191053201360268</v>
          </cell>
          <cell r="AE28">
            <v>3.8700760144216373</v>
          </cell>
          <cell r="AF28" t="str">
            <v>separate</v>
          </cell>
        </row>
        <row r="29">
          <cell r="Y29">
            <v>27.5</v>
          </cell>
          <cell r="Z29">
            <v>1.633351413218336</v>
          </cell>
          <cell r="AB29" t="str">
            <v>P</v>
          </cell>
          <cell r="AC29">
            <v>1.6565527948962453</v>
          </cell>
        </row>
        <row r="30">
          <cell r="Y30">
            <v>32.5</v>
          </cell>
          <cell r="Z30">
            <v>2.509503539898799</v>
          </cell>
          <cell r="AB30" t="str">
            <v>P</v>
          </cell>
          <cell r="AC30">
            <v>2.4327447877779402</v>
          </cell>
        </row>
        <row r="31">
          <cell r="Y31">
            <v>37.5</v>
          </cell>
          <cell r="Z31">
            <v>3.1888325557518113</v>
          </cell>
          <cell r="AB31" t="str">
            <v>P</v>
          </cell>
          <cell r="AC31">
            <v>3.1207792602208806</v>
          </cell>
        </row>
        <row r="32">
          <cell r="Y32">
            <v>42.5</v>
          </cell>
          <cell r="Z32">
            <v>3.7306010413349315</v>
          </cell>
          <cell r="AB32" t="str">
            <v>P</v>
          </cell>
          <cell r="AC32">
            <v>3.6391032315912129</v>
          </cell>
        </row>
        <row r="33">
          <cell r="Y33">
            <v>47.5</v>
          </cell>
          <cell r="Z33">
            <v>4.0716709951667305</v>
          </cell>
          <cell r="AB33" t="str">
            <v>P</v>
          </cell>
          <cell r="AC33">
            <v>3.8454467289171261</v>
          </cell>
        </row>
        <row r="35">
          <cell r="Y35">
            <v>14.5</v>
          </cell>
          <cell r="Z35">
            <v>5.8586610577897949E-3</v>
          </cell>
          <cell r="AB35" t="str">
            <v>F</v>
          </cell>
          <cell r="AC35">
            <v>1.6253744519433818E-3</v>
          </cell>
          <cell r="AE35">
            <v>2.8700760144216373</v>
          </cell>
          <cell r="AF35" t="str">
            <v>level:</v>
          </cell>
        </row>
        <row r="36">
          <cell r="Y36">
            <v>19.5</v>
          </cell>
          <cell r="Z36">
            <v>0.1626223251164173</v>
          </cell>
          <cell r="AB36" t="str">
            <v>F</v>
          </cell>
          <cell r="AC36">
            <v>0.15930721495654426</v>
          </cell>
        </row>
        <row r="37">
          <cell r="Y37">
            <v>24.5</v>
          </cell>
          <cell r="Z37">
            <v>0.53281715315856693</v>
          </cell>
          <cell r="AB37" t="str">
            <v>F</v>
          </cell>
          <cell r="AC37">
            <v>0.54574423789689863</v>
          </cell>
          <cell r="AE37">
            <v>2.8700760144216373</v>
          </cell>
          <cell r="AF37" t="str">
            <v>F 15 to 35</v>
          </cell>
        </row>
        <row r="38">
          <cell r="Y38">
            <v>29.5</v>
          </cell>
          <cell r="Z38">
            <v>0.94973188784006068</v>
          </cell>
          <cell r="AB38" t="str">
            <v>F</v>
          </cell>
          <cell r="AC38">
            <v>0.95388967737444674</v>
          </cell>
        </row>
        <row r="39">
          <cell r="Y39">
            <v>34.5</v>
          </cell>
          <cell r="Z39">
            <v>1.3100528095079462</v>
          </cell>
          <cell r="AB39" t="str">
            <v>F</v>
          </cell>
          <cell r="AC39">
            <v>1.3016641393600896</v>
          </cell>
        </row>
        <row r="40">
          <cell r="Y40">
            <v>39.5</v>
          </cell>
          <cell r="Z40">
            <v>1.5599895984919026</v>
          </cell>
          <cell r="AB40" t="str">
            <v>F</v>
          </cell>
          <cell r="AC40">
            <v>1.5587554791311002</v>
          </cell>
        </row>
        <row r="41">
          <cell r="Y41">
            <v>44.5</v>
          </cell>
          <cell r="Z41">
            <v>1.7054253960153094</v>
          </cell>
          <cell r="AB41" t="str">
            <v>F</v>
          </cell>
          <cell r="AC41">
            <v>1.688054517008271</v>
          </cell>
        </row>
        <row r="42">
          <cell r="Y42">
            <v>49.5</v>
          </cell>
          <cell r="Z42">
            <v>1.7816517240609606</v>
          </cell>
          <cell r="AB42" t="str">
            <v>F</v>
          </cell>
          <cell r="AC42">
            <v>1.7084519866900585</v>
          </cell>
        </row>
        <row r="44">
          <cell r="Y44">
            <v>13.504003814440011</v>
          </cell>
          <cell r="AA44" t="str">
            <v xml:space="preserve"> </v>
          </cell>
        </row>
        <row r="45">
          <cell r="Y45">
            <v>14.5</v>
          </cell>
          <cell r="AA45" t="str">
            <v xml:space="preserve"> </v>
          </cell>
        </row>
        <row r="46">
          <cell r="Y46">
            <v>17.94764765779551</v>
          </cell>
          <cell r="AA46" t="str">
            <v xml:space="preserve"> </v>
          </cell>
        </row>
        <row r="47">
          <cell r="Y47">
            <v>19.5</v>
          </cell>
          <cell r="AA47" t="str">
            <v xml:space="preserve"> </v>
          </cell>
        </row>
        <row r="48">
          <cell r="Y48">
            <v>22.410865210263967</v>
          </cell>
          <cell r="AA48" t="str">
            <v xml:space="preserve"> </v>
          </cell>
        </row>
        <row r="49">
          <cell r="Y49">
            <v>24.5</v>
          </cell>
          <cell r="AA49" t="str">
            <v xml:space="preserve"> </v>
          </cell>
          <cell r="AE49">
            <v>2.3700760144216373</v>
          </cell>
          <cell r="AF49" t="str">
            <v>P 15 to 35</v>
          </cell>
        </row>
        <row r="50">
          <cell r="Y50">
            <v>27.445027935971265</v>
          </cell>
          <cell r="AA50" t="str">
            <v xml:space="preserve"> </v>
          </cell>
        </row>
        <row r="51">
          <cell r="Y51">
            <v>29.5</v>
          </cell>
          <cell r="AA51" t="str">
            <v xml:space="preserve"> </v>
          </cell>
        </row>
        <row r="52">
          <cell r="Y52">
            <v>32.517785477812403</v>
          </cell>
          <cell r="AA52" t="str">
            <v xml:space="preserve"> </v>
          </cell>
        </row>
        <row r="53">
          <cell r="Y53">
            <v>34.5</v>
          </cell>
          <cell r="AA53" t="str">
            <v xml:space="preserve"> </v>
          </cell>
        </row>
        <row r="54">
          <cell r="Y54">
            <v>37.544235773557418</v>
          </cell>
          <cell r="AA54" t="str">
            <v xml:space="preserve"> </v>
          </cell>
        </row>
        <row r="55">
          <cell r="Y55">
            <v>39.5</v>
          </cell>
          <cell r="AA55" t="str">
            <v xml:space="preserve"> </v>
          </cell>
        </row>
        <row r="56">
          <cell r="Y56">
            <v>42.536611047768147</v>
          </cell>
          <cell r="AA56" t="str">
            <v xml:space="preserve"> </v>
          </cell>
        </row>
        <row r="57">
          <cell r="Y57">
            <v>44.5</v>
          </cell>
          <cell r="AA57" t="str">
            <v xml:space="preserve"> </v>
          </cell>
        </row>
        <row r="58">
          <cell r="Y58">
            <v>47.242548778134008</v>
          </cell>
          <cell r="AA58" t="str">
            <v xml:space="preserve"> </v>
          </cell>
        </row>
        <row r="59">
          <cell r="Y59">
            <v>49.5</v>
          </cell>
          <cell r="AA59" t="str">
            <v xml:space="preserve"> </v>
          </cell>
        </row>
        <row r="60">
          <cell r="Y60">
            <v>51.500000000000007</v>
          </cell>
          <cell r="AA60" t="str">
            <v xml:space="preserve"> </v>
          </cell>
        </row>
      </sheetData>
      <sheetData sheetId="1" refreshError="1"/>
      <sheetData sheetId="2" refreshError="1"/>
      <sheetData sheetId="3"/>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demographicestimation.iussp.org/content/brass-growth-balance-method"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1"/>
  <sheetViews>
    <sheetView showGridLines="0" workbookViewId="0">
      <selection activeCell="D11" sqref="D11"/>
    </sheetView>
  </sheetViews>
  <sheetFormatPr defaultColWidth="9.109375" defaultRowHeight="18.75" customHeight="1"/>
  <cols>
    <col min="1" max="1" width="7.6640625" style="43" customWidth="1"/>
    <col min="2" max="2" width="97.6640625" style="43" customWidth="1"/>
    <col min="3" max="3" width="28.44140625" style="43" customWidth="1"/>
    <col min="4" max="4" width="17" style="43" customWidth="1"/>
    <col min="5" max="16384" width="9.109375" style="43"/>
  </cols>
  <sheetData>
    <row r="1" spans="1:4" ht="18.75" customHeight="1">
      <c r="A1" s="98" t="s">
        <v>36</v>
      </c>
      <c r="B1" s="99"/>
    </row>
    <row r="2" spans="1:4" ht="18.75" customHeight="1">
      <c r="A2" s="44"/>
      <c r="B2" s="45"/>
    </row>
    <row r="3" spans="1:4" ht="18.75" customHeight="1">
      <c r="A3" s="100" t="s">
        <v>34</v>
      </c>
      <c r="B3" s="100"/>
    </row>
    <row r="4" spans="1:4" ht="18.75" customHeight="1">
      <c r="A4" s="101" t="s">
        <v>80</v>
      </c>
      <c r="B4" s="102"/>
    </row>
    <row r="5" spans="1:4" ht="18.75" customHeight="1">
      <c r="A5" s="44"/>
      <c r="B5" s="44"/>
    </row>
    <row r="6" spans="1:4" ht="78.75" customHeight="1">
      <c r="A6" s="103" t="s">
        <v>75</v>
      </c>
      <c r="B6" s="103"/>
    </row>
    <row r="7" spans="1:4" ht="18.75" customHeight="1" thickBot="1">
      <c r="A7" s="44"/>
      <c r="B7" s="44"/>
    </row>
    <row r="8" spans="1:4" ht="18.75" customHeight="1" thickBot="1">
      <c r="A8" s="46" t="s">
        <v>35</v>
      </c>
      <c r="B8" s="44"/>
      <c r="C8" s="104" t="s">
        <v>38</v>
      </c>
      <c r="D8" s="105"/>
    </row>
    <row r="9" spans="1:4" ht="18.75" customHeight="1">
      <c r="A9" s="44">
        <v>1</v>
      </c>
      <c r="B9" s="44" t="s">
        <v>63</v>
      </c>
      <c r="C9" s="50" t="s">
        <v>39</v>
      </c>
      <c r="D9" s="39" t="s">
        <v>37</v>
      </c>
    </row>
    <row r="10" spans="1:4" ht="18.75" customHeight="1">
      <c r="A10" s="44">
        <v>2</v>
      </c>
      <c r="B10" s="44" t="s">
        <v>64</v>
      </c>
      <c r="C10" s="51" t="s">
        <v>44</v>
      </c>
      <c r="D10" s="40" t="s">
        <v>31</v>
      </c>
    </row>
    <row r="11" spans="1:4" ht="31.5" customHeight="1">
      <c r="A11" s="47">
        <v>3</v>
      </c>
      <c r="B11" s="48" t="s">
        <v>65</v>
      </c>
      <c r="C11" s="51" t="s">
        <v>40</v>
      </c>
      <c r="D11" s="40" t="s">
        <v>48</v>
      </c>
    </row>
    <row r="12" spans="1:4" ht="18.75" customHeight="1">
      <c r="A12" s="47">
        <v>4</v>
      </c>
      <c r="B12" s="47" t="s">
        <v>66</v>
      </c>
      <c r="C12" s="52" t="s">
        <v>67</v>
      </c>
      <c r="D12" s="41">
        <v>22406</v>
      </c>
    </row>
    <row r="13" spans="1:4" ht="33" customHeight="1">
      <c r="A13" s="47">
        <v>5</v>
      </c>
      <c r="B13" s="49" t="s">
        <v>68</v>
      </c>
      <c r="C13" s="52" t="s">
        <v>42</v>
      </c>
      <c r="D13" s="41">
        <v>22282</v>
      </c>
    </row>
    <row r="14" spans="1:4" ht="33" customHeight="1" thickBot="1">
      <c r="A14" s="47">
        <v>6</v>
      </c>
      <c r="B14" s="49" t="s">
        <v>69</v>
      </c>
      <c r="C14" s="53" t="s">
        <v>43</v>
      </c>
      <c r="D14" s="42">
        <v>22646</v>
      </c>
    </row>
    <row r="15" spans="1:4" ht="21.75" customHeight="1">
      <c r="A15" s="47">
        <v>7</v>
      </c>
      <c r="B15" s="47" t="s">
        <v>72</v>
      </c>
    </row>
    <row r="16" spans="1:4" ht="51.75" customHeight="1">
      <c r="A16" s="47">
        <v>8</v>
      </c>
      <c r="B16" s="49" t="s">
        <v>70</v>
      </c>
    </row>
    <row r="17" spans="1:2" ht="21" customHeight="1">
      <c r="A17" s="47">
        <v>9</v>
      </c>
      <c r="B17" s="49" t="s">
        <v>71</v>
      </c>
    </row>
    <row r="18" spans="1:2" ht="33" customHeight="1">
      <c r="A18" s="47">
        <v>10</v>
      </c>
      <c r="B18" s="49" t="s">
        <v>81</v>
      </c>
    </row>
    <row r="19" spans="1:2" ht="47.25" customHeight="1">
      <c r="A19" s="47">
        <v>11</v>
      </c>
      <c r="B19" s="49" t="s">
        <v>73</v>
      </c>
    </row>
    <row r="20" spans="1:2" ht="19.5" customHeight="1">
      <c r="A20" s="47">
        <v>12</v>
      </c>
      <c r="B20" s="47" t="s">
        <v>76</v>
      </c>
    </row>
    <row r="21" spans="1:2" ht="18.75" customHeight="1">
      <c r="A21" s="47">
        <v>13</v>
      </c>
      <c r="B21" s="47" t="s">
        <v>74</v>
      </c>
    </row>
    <row r="22" spans="1:2" ht="18.75" customHeight="1">
      <c r="A22" s="47"/>
      <c r="B22" s="49"/>
    </row>
    <row r="23" spans="1:2" ht="18.75" customHeight="1">
      <c r="A23" s="47"/>
      <c r="B23" s="49"/>
    </row>
    <row r="24" spans="1:2" ht="18.75" customHeight="1">
      <c r="A24" s="47"/>
      <c r="B24" s="49"/>
    </row>
    <row r="25" spans="1:2" ht="18.75" customHeight="1">
      <c r="A25" s="47"/>
      <c r="B25" s="49"/>
    </row>
    <row r="26" spans="1:2" ht="18.75" customHeight="1">
      <c r="A26" s="47"/>
      <c r="B26" s="49"/>
    </row>
    <row r="27" spans="1:2" ht="18.75" customHeight="1">
      <c r="A27" s="47"/>
      <c r="B27" s="49"/>
    </row>
    <row r="28" spans="1:2" ht="18.75" customHeight="1">
      <c r="A28" s="47"/>
      <c r="B28" s="49"/>
    </row>
    <row r="29" spans="1:2" ht="18.75" customHeight="1">
      <c r="A29" s="47"/>
      <c r="B29" s="49"/>
    </row>
    <row r="30" spans="1:2" ht="18.75" customHeight="1">
      <c r="A30" s="47"/>
      <c r="B30" s="49"/>
    </row>
    <row r="31" spans="1:2" ht="18.75" customHeight="1">
      <c r="A31" s="44"/>
      <c r="B31" s="45"/>
    </row>
    <row r="32" spans="1:2" ht="18.75" customHeight="1">
      <c r="A32" s="44"/>
      <c r="B32" s="45"/>
    </row>
    <row r="33" spans="1:2" ht="18.75" customHeight="1">
      <c r="A33" s="44"/>
      <c r="B33" s="45"/>
    </row>
    <row r="34" spans="1:2" ht="18.75" customHeight="1">
      <c r="A34" s="44"/>
      <c r="B34" s="45"/>
    </row>
    <row r="35" spans="1:2" ht="18.75" customHeight="1">
      <c r="A35" s="44"/>
      <c r="B35" s="45"/>
    </row>
    <row r="36" spans="1:2" ht="18.75" customHeight="1">
      <c r="A36" s="44"/>
      <c r="B36" s="45"/>
    </row>
    <row r="37" spans="1:2" ht="18.75" customHeight="1">
      <c r="A37" s="44"/>
      <c r="B37" s="44"/>
    </row>
    <row r="38" spans="1:2" ht="18.75" customHeight="1">
      <c r="A38" s="44"/>
      <c r="B38" s="44"/>
    </row>
    <row r="39" spans="1:2" ht="18.75" customHeight="1">
      <c r="A39" s="44"/>
      <c r="B39" s="44"/>
    </row>
    <row r="40" spans="1:2" ht="18.75" customHeight="1">
      <c r="A40" s="44"/>
      <c r="B40" s="44"/>
    </row>
    <row r="41" spans="1:2" ht="18.75" customHeight="1">
      <c r="A41" s="44"/>
      <c r="B41" s="44"/>
    </row>
    <row r="42" spans="1:2" ht="18.75" customHeight="1">
      <c r="A42" s="44"/>
      <c r="B42" s="44"/>
    </row>
    <row r="43" spans="1:2" ht="18.75" customHeight="1">
      <c r="A43" s="44"/>
      <c r="B43" s="44"/>
    </row>
    <row r="44" spans="1:2" ht="18.75" customHeight="1">
      <c r="A44" s="44"/>
      <c r="B44" s="44"/>
    </row>
    <row r="45" spans="1:2" ht="18.75" customHeight="1">
      <c r="A45" s="44"/>
      <c r="B45" s="44"/>
    </row>
    <row r="46" spans="1:2" ht="18.75" customHeight="1">
      <c r="A46" s="44"/>
      <c r="B46" s="44"/>
    </row>
    <row r="47" spans="1:2" ht="18.75" customHeight="1">
      <c r="A47" s="44"/>
      <c r="B47" s="44"/>
    </row>
    <row r="48" spans="1:2" ht="18.75" customHeight="1">
      <c r="A48" s="44"/>
      <c r="B48" s="44"/>
    </row>
    <row r="49" spans="1:2" ht="18.75" customHeight="1">
      <c r="A49" s="44"/>
      <c r="B49" s="44"/>
    </row>
    <row r="50" spans="1:2" ht="18.75" customHeight="1">
      <c r="A50" s="44"/>
      <c r="B50" s="44"/>
    </row>
    <row r="51" spans="1:2" ht="18.75" customHeight="1">
      <c r="A51" s="44"/>
      <c r="B51" s="44"/>
    </row>
    <row r="52" spans="1:2" ht="18.75" customHeight="1">
      <c r="A52" s="44"/>
      <c r="B52" s="44"/>
    </row>
    <row r="53" spans="1:2" ht="18.75" customHeight="1">
      <c r="A53" s="44"/>
      <c r="B53" s="44"/>
    </row>
    <row r="54" spans="1:2" ht="18.75" customHeight="1">
      <c r="A54" s="44"/>
      <c r="B54" s="44"/>
    </row>
    <row r="55" spans="1:2" ht="18.75" customHeight="1">
      <c r="A55" s="44"/>
      <c r="B55" s="44"/>
    </row>
    <row r="56" spans="1:2" ht="18.75" customHeight="1">
      <c r="A56" s="44"/>
      <c r="B56" s="44"/>
    </row>
    <row r="57" spans="1:2" ht="18.75" customHeight="1">
      <c r="A57" s="44"/>
      <c r="B57" s="44"/>
    </row>
    <row r="58" spans="1:2" ht="18.75" customHeight="1">
      <c r="A58" s="44"/>
      <c r="B58" s="44"/>
    </row>
    <row r="59" spans="1:2" ht="18.75" customHeight="1">
      <c r="A59" s="44"/>
      <c r="B59" s="44"/>
    </row>
    <row r="60" spans="1:2" ht="18.75" customHeight="1">
      <c r="A60" s="44"/>
      <c r="B60" s="44"/>
    </row>
    <row r="61" spans="1:2" ht="18.75" customHeight="1">
      <c r="A61" s="44"/>
      <c r="B61" s="44"/>
    </row>
  </sheetData>
  <sheetProtection selectLockedCells="1"/>
  <mergeCells count="5">
    <mergeCell ref="A1:B1"/>
    <mergeCell ref="A3:B3"/>
    <mergeCell ref="A4:B4"/>
    <mergeCell ref="A6:B6"/>
    <mergeCell ref="C8:D8"/>
  </mergeCells>
  <dataValidations count="3">
    <dataValidation type="list" showInputMessage="1" showErrorMessage="1" sqref="D11">
      <formula1>"UN General,Princeton East,Princeton North,Princeton South,Princeton West,AIDS,Other"</formula1>
    </dataValidation>
    <dataValidation type="list" showInputMessage="1" showErrorMessage="1" sqref="D10">
      <formula1>"Males,Females"</formula1>
    </dataValidation>
    <dataValidation type="list" showDropDown="1" showInputMessage="1" showErrorMessage="1" sqref="A4:B4">
      <formula1>"http://demographicestimation.iussp.org/content/brass-growth-balance-method"</formula1>
    </dataValidation>
  </dataValidations>
  <hyperlinks>
    <hyperlink ref="A4" r:id="rId1"/>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Q42"/>
  <sheetViews>
    <sheetView showGridLines="0" workbookViewId="0">
      <selection activeCell="B27" sqref="B27"/>
    </sheetView>
  </sheetViews>
  <sheetFormatPr defaultColWidth="9.109375" defaultRowHeight="15"/>
  <cols>
    <col min="1" max="1" width="7.6640625" style="20" customWidth="1"/>
    <col min="2" max="2" width="12" style="20" customWidth="1"/>
    <col min="3" max="6" width="14.5546875" style="20" customWidth="1"/>
    <col min="7" max="7" width="12.5546875" style="20" customWidth="1"/>
    <col min="8" max="8" width="12.109375" style="20" customWidth="1"/>
    <col min="9" max="9" width="4.5546875" style="20" customWidth="1"/>
    <col min="10" max="10" width="7.5546875" style="20" customWidth="1"/>
    <col min="11" max="15" width="12" style="20" customWidth="1"/>
    <col min="16" max="16" width="11.88671875" style="20" customWidth="1"/>
    <col min="17" max="17" width="10.88671875" style="20" customWidth="1"/>
    <col min="18" max="16384" width="9.109375" style="20"/>
  </cols>
  <sheetData>
    <row r="1" spans="1:17" s="55" customFormat="1" ht="16.2">
      <c r="A1" s="54" t="s">
        <v>82</v>
      </c>
      <c r="G1" s="56" t="s">
        <v>83</v>
      </c>
      <c r="H1" s="56"/>
      <c r="J1" s="54" t="s">
        <v>84</v>
      </c>
      <c r="P1" s="56" t="s">
        <v>85</v>
      </c>
      <c r="Q1" s="56"/>
    </row>
    <row r="2" spans="1:17" s="55" customFormat="1" ht="33" customHeight="1">
      <c r="A2" s="57" t="s">
        <v>3</v>
      </c>
      <c r="B2" s="58" t="s">
        <v>45</v>
      </c>
      <c r="C2" s="58" t="s">
        <v>46</v>
      </c>
      <c r="D2" s="58" t="s">
        <v>47</v>
      </c>
      <c r="E2" s="58" t="s">
        <v>41</v>
      </c>
      <c r="F2" s="58" t="s">
        <v>48</v>
      </c>
      <c r="G2" s="58" t="s">
        <v>49</v>
      </c>
      <c r="H2" s="58" t="s">
        <v>50</v>
      </c>
      <c r="J2" s="57" t="s">
        <v>3</v>
      </c>
      <c r="K2" s="58" t="s">
        <v>45</v>
      </c>
      <c r="L2" s="58" t="s">
        <v>46</v>
      </c>
      <c r="M2" s="58" t="s">
        <v>47</v>
      </c>
      <c r="N2" s="58" t="s">
        <v>41</v>
      </c>
      <c r="O2" s="58" t="s">
        <v>48</v>
      </c>
      <c r="P2" s="58" t="s">
        <v>49</v>
      </c>
      <c r="Q2" s="57" t="s">
        <v>50</v>
      </c>
    </row>
    <row r="3" spans="1:17">
      <c r="A3" s="21">
        <v>5</v>
      </c>
      <c r="B3" s="22">
        <v>-1.0557703137725243</v>
      </c>
      <c r="C3" s="22">
        <v>-1.0034528162299363</v>
      </c>
      <c r="D3" s="22">
        <v>-1.061325256602174</v>
      </c>
      <c r="E3" s="22">
        <v>-0.90879111177777439</v>
      </c>
      <c r="F3" s="22">
        <v>-1.0842444395521329</v>
      </c>
      <c r="G3" s="23">
        <v>-0.85180455224953355</v>
      </c>
      <c r="H3" s="24"/>
      <c r="J3" s="21">
        <v>5</v>
      </c>
      <c r="K3" s="22">
        <v>-1.1183426521790116</v>
      </c>
      <c r="L3" s="22">
        <v>-1.0839281949744348</v>
      </c>
      <c r="M3" s="22">
        <v>-1.1185632260148939</v>
      </c>
      <c r="N3" s="22">
        <v>-0.97803104804351482</v>
      </c>
      <c r="O3" s="22">
        <v>-1.1443836734991739</v>
      </c>
      <c r="P3" s="22">
        <v>-0.79829676250861992</v>
      </c>
      <c r="Q3" s="24"/>
    </row>
    <row r="4" spans="1:17">
      <c r="A4" s="21">
        <v>10</v>
      </c>
      <c r="B4" s="22">
        <v>-1.0059690881890577</v>
      </c>
      <c r="C4" s="22">
        <v>-0.96210277111891918</v>
      </c>
      <c r="D4" s="22">
        <v>-0.97867737240738273</v>
      </c>
      <c r="E4" s="22">
        <v>-0.87426674682746675</v>
      </c>
      <c r="F4" s="22">
        <v>-1.0329081865332934</v>
      </c>
      <c r="G4" s="22">
        <v>-0.799205207567936</v>
      </c>
      <c r="H4" s="24"/>
      <c r="J4" s="21">
        <v>10</v>
      </c>
      <c r="K4" s="22">
        <v>-1.0743948523980273</v>
      </c>
      <c r="L4" s="22">
        <v>-1.0472539080439389</v>
      </c>
      <c r="M4" s="22">
        <v>-1.0393562968308907</v>
      </c>
      <c r="N4" s="22">
        <v>-0.94784307566733739</v>
      </c>
      <c r="O4" s="22">
        <v>-1.0968312103313975</v>
      </c>
      <c r="P4" s="22">
        <v>-0.73689617552188336</v>
      </c>
      <c r="Q4" s="24"/>
    </row>
    <row r="5" spans="1:17">
      <c r="A5" s="21">
        <v>15</v>
      </c>
      <c r="B5" s="22">
        <v>-0.9778828398588445</v>
      </c>
      <c r="C5" s="22">
        <v>-0.93688771389348002</v>
      </c>
      <c r="D5" s="22">
        <v>-0.93456378789298888</v>
      </c>
      <c r="E5" s="22">
        <v>-0.85272014880258951</v>
      </c>
      <c r="F5" s="22">
        <v>-0.99562585121052949</v>
      </c>
      <c r="G5" s="22">
        <v>-0.77885315149743439</v>
      </c>
      <c r="H5" s="24"/>
      <c r="J5" s="21">
        <v>15</v>
      </c>
      <c r="K5" s="22">
        <v>-1.046640904616448</v>
      </c>
      <c r="L5" s="22">
        <v>-1.0232404683298353</v>
      </c>
      <c r="M5" s="22">
        <v>-0.99810318323243907</v>
      </c>
      <c r="N5" s="22">
        <v>-0.92724294571284704</v>
      </c>
      <c r="O5" s="22">
        <v>-1.0631132391187417</v>
      </c>
      <c r="P5" s="22">
        <v>-0.69613571586652812</v>
      </c>
      <c r="Q5" s="24"/>
    </row>
    <row r="6" spans="1:17">
      <c r="A6" s="21">
        <v>20</v>
      </c>
      <c r="B6" s="22">
        <v>-0.93810586936643969</v>
      </c>
      <c r="C6" s="22">
        <v>-0.90144694160929184</v>
      </c>
      <c r="D6" s="22">
        <v>-0.88577608039760869</v>
      </c>
      <c r="E6" s="22">
        <v>-0.82207221968309652</v>
      </c>
      <c r="F6" s="22">
        <v>-0.94491044364009291</v>
      </c>
      <c r="G6" s="22">
        <v>-0.73999984529103391</v>
      </c>
      <c r="H6" s="24"/>
      <c r="J6" s="21">
        <v>20</v>
      </c>
      <c r="K6" s="22">
        <v>-1.0066773582389617</v>
      </c>
      <c r="L6" s="22">
        <v>-0.98210627496614655</v>
      </c>
      <c r="M6" s="22">
        <v>-0.9416333856114224</v>
      </c>
      <c r="N6" s="22">
        <v>-0.89806980739238718</v>
      </c>
      <c r="O6" s="22">
        <v>-1.0130422551600544</v>
      </c>
      <c r="P6" s="22">
        <v>-0.66544049854843723</v>
      </c>
      <c r="Q6" s="24"/>
    </row>
    <row r="7" spans="1:17">
      <c r="A7" s="21">
        <v>25</v>
      </c>
      <c r="B7" s="22">
        <v>-0.88761866143951096</v>
      </c>
      <c r="C7" s="22">
        <v>-0.85645781794940679</v>
      </c>
      <c r="D7" s="22">
        <v>-0.83063229603261535</v>
      </c>
      <c r="E7" s="22">
        <v>-0.78407707634718316</v>
      </c>
      <c r="F7" s="22">
        <v>-0.88412226434856211</v>
      </c>
      <c r="G7" s="22">
        <v>-0.66746727013803897</v>
      </c>
      <c r="H7" s="24"/>
      <c r="J7" s="21">
        <v>25</v>
      </c>
      <c r="K7" s="22">
        <v>-0.95393531432576628</v>
      </c>
      <c r="L7" s="22">
        <v>-0.92677804853722057</v>
      </c>
      <c r="M7" s="22">
        <v>-0.86920613351053932</v>
      </c>
      <c r="N7" s="22">
        <v>-0.85624317643298331</v>
      </c>
      <c r="O7" s="22">
        <v>-0.94848666240099744</v>
      </c>
      <c r="P7" s="22">
        <v>-0.61930998136655224</v>
      </c>
      <c r="Q7" s="24"/>
    </row>
    <row r="8" spans="1:17">
      <c r="A8" s="21">
        <v>30</v>
      </c>
      <c r="B8" s="22">
        <v>-0.83222308793731981</v>
      </c>
      <c r="C8" s="22">
        <v>-0.80848565605858569</v>
      </c>
      <c r="D8" s="22">
        <v>-0.77200338720246053</v>
      </c>
      <c r="E8" s="22">
        <v>-0.74309524259921955</v>
      </c>
      <c r="F8" s="22">
        <v>-0.82136257147134217</v>
      </c>
      <c r="G8" s="22">
        <v>-0.55497544474088145</v>
      </c>
      <c r="H8" s="24"/>
      <c r="J8" s="21">
        <v>30</v>
      </c>
      <c r="K8" s="22">
        <v>-0.89866730377103976</v>
      </c>
      <c r="L8" s="22">
        <v>-0.87581973706212179</v>
      </c>
      <c r="M8" s="22">
        <v>-0.80208481424719991</v>
      </c>
      <c r="N8" s="22">
        <v>-0.81703262635799434</v>
      </c>
      <c r="O8" s="22">
        <v>-0.88773038554625583</v>
      </c>
      <c r="P8" s="22">
        <v>-0.53826653643964251</v>
      </c>
      <c r="Q8" s="24"/>
    </row>
    <row r="9" spans="1:17">
      <c r="A9" s="21">
        <v>35</v>
      </c>
      <c r="B9" s="22">
        <v>-0.77161320305701064</v>
      </c>
      <c r="C9" s="22">
        <v>-0.75720799673579831</v>
      </c>
      <c r="D9" s="22">
        <v>-0.71174620737879146</v>
      </c>
      <c r="E9" s="22">
        <v>-0.70212800843649648</v>
      </c>
      <c r="F9" s="22">
        <v>-0.75642199010305966</v>
      </c>
      <c r="G9" s="22">
        <v>-0.43949301509733479</v>
      </c>
      <c r="H9" s="24"/>
      <c r="J9" s="21">
        <v>35</v>
      </c>
      <c r="K9" s="22">
        <v>-0.83892900424050876</v>
      </c>
      <c r="L9" s="22">
        <v>-0.82474303239272606</v>
      </c>
      <c r="M9" s="22">
        <v>-0.73732351213430469</v>
      </c>
      <c r="N9" s="22">
        <v>-0.77189439731086973</v>
      </c>
      <c r="O9" s="22">
        <v>-0.8259381775987652</v>
      </c>
      <c r="P9" s="22">
        <v>-0.42396950774757225</v>
      </c>
      <c r="Q9" s="24"/>
    </row>
    <row r="10" spans="1:17">
      <c r="A10" s="21">
        <v>40</v>
      </c>
      <c r="B10" s="22">
        <v>-0.70536613769800149</v>
      </c>
      <c r="C10" s="22">
        <v>-0.70143650532592283</v>
      </c>
      <c r="D10" s="22">
        <v>-0.6489531581506035</v>
      </c>
      <c r="E10" s="22">
        <v>-0.65777314927556685</v>
      </c>
      <c r="F10" s="22">
        <v>-0.68862800696556059</v>
      </c>
      <c r="G10" s="22">
        <v>-0.34752805546091936</v>
      </c>
      <c r="H10" s="24"/>
      <c r="J10" s="21">
        <v>40</v>
      </c>
      <c r="K10" s="22">
        <v>-0.76900214861344063</v>
      </c>
      <c r="L10" s="22">
        <v>-0.76681316903129526</v>
      </c>
      <c r="M10" s="22">
        <v>-0.67218441284437103</v>
      </c>
      <c r="N10" s="22">
        <v>-0.72231250461550289</v>
      </c>
      <c r="O10" s="22">
        <v>-0.75696780176204026</v>
      </c>
      <c r="P10" s="22">
        <v>-0.30537040538400972</v>
      </c>
      <c r="Q10" s="24"/>
    </row>
    <row r="11" spans="1:17">
      <c r="A11" s="21">
        <v>45</v>
      </c>
      <c r="B11" s="22">
        <v>-0.63225842771700302</v>
      </c>
      <c r="C11" s="22">
        <v>-0.64063233149904941</v>
      </c>
      <c r="D11" s="22">
        <v>-0.58010435644994485</v>
      </c>
      <c r="E11" s="22">
        <v>-0.60809129187599065</v>
      </c>
      <c r="F11" s="22">
        <v>-0.61631192568392912</v>
      </c>
      <c r="G11" s="22">
        <v>-0.2796717464607949</v>
      </c>
      <c r="H11" s="24"/>
      <c r="J11" s="21">
        <v>45</v>
      </c>
      <c r="K11" s="22">
        <v>-0.68452755415039701</v>
      </c>
      <c r="L11" s="22">
        <v>-0.69542221623109723</v>
      </c>
      <c r="M11" s="22">
        <v>-0.6004320886314537</v>
      </c>
      <c r="N11" s="22">
        <v>-0.66038885146608195</v>
      </c>
      <c r="O11" s="22">
        <v>-0.67555110779524841</v>
      </c>
      <c r="P11" s="22">
        <v>-0.19102306031916078</v>
      </c>
      <c r="Q11" s="24"/>
    </row>
    <row r="12" spans="1:17">
      <c r="A12" s="21">
        <v>50</v>
      </c>
      <c r="B12" s="22">
        <v>-0.54716064042354773</v>
      </c>
      <c r="C12" s="22">
        <v>-0.56974874560225386</v>
      </c>
      <c r="D12" s="22">
        <v>-0.50864167857923615</v>
      </c>
      <c r="E12" s="22">
        <v>-0.55207839286799509</v>
      </c>
      <c r="F12" s="22">
        <v>-0.53540369879947558</v>
      </c>
      <c r="G12" s="22">
        <v>-0.22679742576773457</v>
      </c>
      <c r="H12" s="24"/>
      <c r="J12" s="21">
        <v>50</v>
      </c>
      <c r="K12" s="22">
        <v>-0.58094867734309374</v>
      </c>
      <c r="L12" s="22">
        <v>-0.60294976503765141</v>
      </c>
      <c r="M12" s="22">
        <v>-0.52059834010621253</v>
      </c>
      <c r="N12" s="22">
        <v>-0.58383201720449152</v>
      </c>
      <c r="O12" s="22">
        <v>-0.57720150892943201</v>
      </c>
      <c r="P12" s="22">
        <v>-9.1258238415243206E-2</v>
      </c>
      <c r="Q12" s="24"/>
    </row>
    <row r="13" spans="1:17">
      <c r="A13" s="21">
        <v>55</v>
      </c>
      <c r="B13" s="22">
        <v>-0.44323137082095437</v>
      </c>
      <c r="C13" s="22">
        <v>-0.48057184541702924</v>
      </c>
      <c r="D13" s="22">
        <v>-0.42279162488953242</v>
      </c>
      <c r="E13" s="22">
        <v>-0.48008226256731529</v>
      </c>
      <c r="F13" s="22">
        <v>-0.43713086722588262</v>
      </c>
      <c r="G13" s="22">
        <v>-0.17320805457698965</v>
      </c>
      <c r="H13" s="24"/>
      <c r="J13" s="21">
        <v>55</v>
      </c>
      <c r="K13" s="22">
        <v>-0.45326106749569572</v>
      </c>
      <c r="L13" s="22">
        <v>-0.48163530200651361</v>
      </c>
      <c r="M13" s="22">
        <v>-0.4210143479136163</v>
      </c>
      <c r="N13" s="22">
        <v>-0.48460666195853785</v>
      </c>
      <c r="O13" s="22">
        <v>-0.45582055810755873</v>
      </c>
      <c r="P13" s="22">
        <v>-5.7787208801094525E-3</v>
      </c>
      <c r="Q13" s="24"/>
    </row>
    <row r="14" spans="1:17">
      <c r="A14" s="21">
        <v>60</v>
      </c>
      <c r="B14" s="22">
        <v>-0.31406112015068494</v>
      </c>
      <c r="C14" s="22">
        <v>-0.36529580454443744</v>
      </c>
      <c r="D14" s="22">
        <v>-0.32102416945414897</v>
      </c>
      <c r="E14" s="22">
        <v>-0.38856998615937</v>
      </c>
      <c r="F14" s="22">
        <v>-0.3186589915311997</v>
      </c>
      <c r="G14" s="22">
        <v>-0.11051999808174573</v>
      </c>
      <c r="H14" s="24"/>
      <c r="J14" s="21">
        <v>60</v>
      </c>
      <c r="K14" s="22">
        <v>-0.29911364237741156</v>
      </c>
      <c r="L14" s="22">
        <v>-0.33065389097350745</v>
      </c>
      <c r="M14" s="22">
        <v>-0.30682105927662073</v>
      </c>
      <c r="N14" s="22">
        <v>-0.35965748316759905</v>
      </c>
      <c r="O14" s="22">
        <v>-0.30741359919534794</v>
      </c>
      <c r="P14" s="22">
        <v>8.0454876803862097E-2</v>
      </c>
      <c r="Q14" s="24"/>
    </row>
    <row r="15" spans="1:17">
      <c r="A15" s="21">
        <v>65</v>
      </c>
      <c r="B15" s="22">
        <v>-0.15350037229977559</v>
      </c>
      <c r="C15" s="22">
        <v>-0.21177193364854202</v>
      </c>
      <c r="D15" s="22">
        <v>-0.18761837894537206</v>
      </c>
      <c r="E15" s="22">
        <v>-0.25906906882787523</v>
      </c>
      <c r="F15" s="22">
        <v>-0.16637525937102554</v>
      </c>
      <c r="G15" s="22">
        <v>-2.4564773576284834E-2</v>
      </c>
      <c r="H15" s="24"/>
      <c r="J15" s="21">
        <v>65</v>
      </c>
      <c r="K15" s="22">
        <v>-0.11199770547699364</v>
      </c>
      <c r="L15" s="22">
        <v>-0.14845486484458761</v>
      </c>
      <c r="M15" s="22">
        <v>-0.16058401337471645</v>
      </c>
      <c r="N15" s="22">
        <v>-0.20182323747925654</v>
      </c>
      <c r="O15" s="22">
        <v>-0.1262176157653675</v>
      </c>
      <c r="P15" s="22">
        <v>0.18406648298591774</v>
      </c>
      <c r="Q15" s="24"/>
    </row>
    <row r="16" spans="1:17">
      <c r="A16" s="21">
        <v>70</v>
      </c>
      <c r="B16" s="22">
        <v>4.7202694544060057E-2</v>
      </c>
      <c r="C16" s="22">
        <v>-6.4627267002444113E-3</v>
      </c>
      <c r="D16" s="22">
        <v>-1.046876480077538E-2</v>
      </c>
      <c r="E16" s="22">
        <v>-7.9751647450351681E-2</v>
      </c>
      <c r="F16" s="22">
        <v>2.5988333390229997E-2</v>
      </c>
      <c r="G16" s="22">
        <v>0.1003150483892048</v>
      </c>
      <c r="H16" s="24"/>
      <c r="J16" s="21">
        <v>70</v>
      </c>
      <c r="K16" s="22">
        <v>0.11350757351291885</v>
      </c>
      <c r="L16" s="22">
        <v>7.4350889929898981E-2</v>
      </c>
      <c r="M16" s="22">
        <v>2.5027307118656625E-2</v>
      </c>
      <c r="N16" s="22">
        <v>-3.6304814007426826E-3</v>
      </c>
      <c r="O16" s="22">
        <v>9.2839228680570429E-2</v>
      </c>
      <c r="P16" s="22">
        <v>0.32605808533447933</v>
      </c>
      <c r="Q16" s="24"/>
    </row>
    <row r="17" spans="1:17">
      <c r="A17" s="21">
        <v>75</v>
      </c>
      <c r="B17" s="22">
        <v>0.29831344083201977</v>
      </c>
      <c r="C17" s="22">
        <v>0.26683377074043363</v>
      </c>
      <c r="D17" s="22">
        <v>0.22405908607537503</v>
      </c>
      <c r="E17" s="22">
        <v>0.17544223413848195</v>
      </c>
      <c r="F17" s="22">
        <v>0.27789225951999852</v>
      </c>
      <c r="G17" s="22">
        <v>0.26437837247892709</v>
      </c>
      <c r="H17" s="24"/>
      <c r="J17" s="21">
        <v>75</v>
      </c>
      <c r="K17" s="22">
        <v>0.38394770191107502</v>
      </c>
      <c r="L17" s="22">
        <v>0.35688919667802921</v>
      </c>
      <c r="M17" s="22">
        <v>0.26393791547571011</v>
      </c>
      <c r="N17" s="22">
        <v>0.26264157768898094</v>
      </c>
      <c r="O17" s="22">
        <v>0.36516868997048274</v>
      </c>
      <c r="P17" s="22">
        <v>0.5118891879176225</v>
      </c>
      <c r="Q17" s="24"/>
    </row>
    <row r="18" spans="1:17">
      <c r="A18" s="21">
        <v>80</v>
      </c>
      <c r="B18" s="22">
        <v>0.61317544977380356</v>
      </c>
      <c r="C18" s="22">
        <v>0.63032567098022951</v>
      </c>
      <c r="D18" s="22">
        <v>0.53050000260347951</v>
      </c>
      <c r="E18" s="22">
        <v>0.52941084062316079</v>
      </c>
      <c r="F18" s="22">
        <v>0.60865330973735543</v>
      </c>
      <c r="G18" s="22">
        <v>0.47887517915207028</v>
      </c>
      <c r="H18" s="24"/>
      <c r="J18" s="21">
        <v>80</v>
      </c>
      <c r="K18" s="22">
        <v>0.71024327752276806</v>
      </c>
      <c r="L18" s="22">
        <v>0.72453107950166995</v>
      </c>
      <c r="M18" s="22">
        <v>0.57732480411031639</v>
      </c>
      <c r="N18" s="22">
        <v>0.63094192216713241</v>
      </c>
      <c r="O18" s="22">
        <v>0.71611699723844735</v>
      </c>
      <c r="P18" s="22">
        <v>0.75588193380852187</v>
      </c>
      <c r="Q18" s="24"/>
    </row>
    <row r="19" spans="1:17">
      <c r="A19" s="26">
        <v>85</v>
      </c>
      <c r="B19" s="27">
        <v>1.0181822931175846</v>
      </c>
      <c r="C19" s="27">
        <v>1.1331829930730626</v>
      </c>
      <c r="D19" s="27">
        <v>0.94458953171090765</v>
      </c>
      <c r="E19" s="27">
        <v>1.0331091244568076</v>
      </c>
      <c r="F19" s="27">
        <v>1.0566921142266263</v>
      </c>
      <c r="G19" s="27">
        <v>0.76832737327098732</v>
      </c>
      <c r="H19" s="28"/>
      <c r="J19" s="26">
        <v>85</v>
      </c>
      <c r="K19" s="27">
        <v>1.1175905321542541</v>
      </c>
      <c r="L19" s="27">
        <v>1.2272198084146826</v>
      </c>
      <c r="M19" s="27">
        <v>1.0013626443891026</v>
      </c>
      <c r="N19" s="27">
        <v>1.1510053247399854</v>
      </c>
      <c r="O19" s="27">
        <v>1.1877303063916866</v>
      </c>
      <c r="P19" s="27">
        <v>1.0995381024185025</v>
      </c>
      <c r="Q19" s="28"/>
    </row>
    <row r="21" spans="1:17" s="55" customFormat="1" ht="13.8">
      <c r="A21" s="64" t="s">
        <v>51</v>
      </c>
      <c r="G21" s="65"/>
      <c r="H21" s="65"/>
    </row>
    <row r="22" spans="1:17" s="55" customFormat="1" ht="13.8"/>
    <row r="23" spans="1:17" s="55" customFormat="1" ht="13.8">
      <c r="A23" s="59"/>
      <c r="B23" s="60" t="str">
        <f>Introduction!D11</f>
        <v>Princeton West</v>
      </c>
      <c r="C23" s="60"/>
      <c r="D23" s="60" t="s">
        <v>52</v>
      </c>
    </row>
    <row r="24" spans="1:17" s="55" customFormat="1" ht="16.2">
      <c r="A24" s="61" t="s">
        <v>3</v>
      </c>
      <c r="B24" s="62" t="s">
        <v>86</v>
      </c>
      <c r="C24" s="62"/>
      <c r="D24" s="62" t="s">
        <v>53</v>
      </c>
    </row>
    <row r="25" spans="1:17" s="55" customFormat="1" ht="16.2">
      <c r="A25" s="66"/>
      <c r="B25" s="63" t="s">
        <v>87</v>
      </c>
      <c r="C25" s="63"/>
      <c r="D25" s="63" t="s">
        <v>88</v>
      </c>
    </row>
    <row r="26" spans="1:17">
      <c r="A26" s="21">
        <v>5</v>
      </c>
      <c r="B26" s="29">
        <f>IF(Introduction!$D$10="Females",HLOOKUP(Introduction!D$11,$B$2:$H$19,ROW()-ROW(B$26)+2,FALSE),HLOOKUP(Introduction!D$11,$K$2:$Q$19,ROW()-ROW(B$26)+2,FALSE))</f>
        <v>-1.0842444395521329</v>
      </c>
      <c r="C26" s="29">
        <f>1/(1+EXP(2*B26))</f>
        <v>0.89738389695608889</v>
      </c>
      <c r="D26" s="29">
        <f>C26/C$26</f>
        <v>1</v>
      </c>
    </row>
    <row r="27" spans="1:17">
      <c r="A27" s="21">
        <v>10</v>
      </c>
      <c r="B27" s="30">
        <f>IF(Introduction!$D$10="Females",HLOOKUP(Introduction!D$11,$B$2:$H$19,ROW()-ROW(B$26)+2,FALSE),HLOOKUP(Introduction!D$11,$K$2:$Q$19,ROW()-ROW(B$26)+2,FALSE))</f>
        <v>-1.0329081865332934</v>
      </c>
      <c r="C27" s="30">
        <f>1/(1+EXP(2*B27))</f>
        <v>0.88753604587465273</v>
      </c>
      <c r="D27" s="30">
        <f>C27/C$26</f>
        <v>0.98902604435533126</v>
      </c>
    </row>
    <row r="28" spans="1:17">
      <c r="A28" s="21">
        <v>15</v>
      </c>
      <c r="B28" s="30">
        <f>IF(Introduction!$D$10="Females",HLOOKUP(Introduction!D$11,$B$2:$H$19,ROW()-ROW(B$26)+2,FALSE),HLOOKUP(Introduction!D$11,$K$2:$Q$19,ROW()-ROW(B$26)+2,FALSE))</f>
        <v>-0.99562585121052949</v>
      </c>
      <c r="C28" s="30">
        <f t="shared" ref="C28:C41" si="0">1/(1+EXP(2*B28))</f>
        <v>0.87987549864512993</v>
      </c>
      <c r="D28" s="30">
        <f t="shared" ref="D28:D41" si="1">C28/C$26</f>
        <v>0.98048951137818818</v>
      </c>
    </row>
    <row r="29" spans="1:17">
      <c r="A29" s="21">
        <v>20</v>
      </c>
      <c r="B29" s="30">
        <f>IF(Introduction!$D$10="Females",HLOOKUP(Introduction!D$11,$B$2:$H$19,ROW()-ROW(B$26)+2,FALSE),HLOOKUP(Introduction!D$11,$K$2:$Q$19,ROW()-ROW(B$26)+2,FALSE))</f>
        <v>-0.94491044364009291</v>
      </c>
      <c r="C29" s="30">
        <f t="shared" si="0"/>
        <v>0.86873510689512778</v>
      </c>
      <c r="D29" s="30">
        <f t="shared" si="1"/>
        <v>0.96807521267304064</v>
      </c>
    </row>
    <row r="30" spans="1:17">
      <c r="A30" s="21">
        <v>25</v>
      </c>
      <c r="B30" s="30">
        <f>IF(Introduction!$D$10="Females",HLOOKUP(Introduction!D$11,$B$2:$H$19,ROW()-ROW(B$26)+2,FALSE),HLOOKUP(Introduction!D$11,$K$2:$Q$19,ROW()-ROW(B$26)+2,FALSE))</f>
        <v>-0.88412226434856211</v>
      </c>
      <c r="C30" s="30">
        <f t="shared" si="0"/>
        <v>0.85423922520442075</v>
      </c>
      <c r="D30" s="30">
        <f t="shared" si="1"/>
        <v>0.95192172280111764</v>
      </c>
    </row>
    <row r="31" spans="1:17">
      <c r="A31" s="21">
        <v>30</v>
      </c>
      <c r="B31" s="30">
        <f>IF(Introduction!$D$10="Females",HLOOKUP(Introduction!D$11,$B$2:$H$19,ROW()-ROW(B$26)+2,FALSE),HLOOKUP(Introduction!D$11,$K$2:$Q$19,ROW()-ROW(B$26)+2,FALSE))</f>
        <v>-0.82136257147134217</v>
      </c>
      <c r="C31" s="30">
        <f t="shared" si="0"/>
        <v>0.83790540707322081</v>
      </c>
      <c r="D31" s="30">
        <f t="shared" si="1"/>
        <v>0.93372012793563808</v>
      </c>
    </row>
    <row r="32" spans="1:17">
      <c r="A32" s="21">
        <v>35</v>
      </c>
      <c r="B32" s="30">
        <f>IF(Introduction!$D$10="Females",HLOOKUP(Introduction!D$11,$B$2:$H$19,ROW()-ROW(B$26)+2,FALSE),HLOOKUP(Introduction!D$11,$K$2:$Q$19,ROW()-ROW(B$26)+2,FALSE))</f>
        <v>-0.75642199010305966</v>
      </c>
      <c r="C32" s="30">
        <f t="shared" si="0"/>
        <v>0.81948230217433249</v>
      </c>
      <c r="D32" s="30">
        <f t="shared" si="1"/>
        <v>0.91319033576822883</v>
      </c>
    </row>
    <row r="33" spans="1:4">
      <c r="A33" s="21">
        <v>40</v>
      </c>
      <c r="B33" s="30">
        <f>IF(Introduction!$D$10="Females",HLOOKUP(Introduction!D$11,$B$2:$H$19,ROW()-ROW(B$26)+2,FALSE),HLOOKUP(Introduction!D$11,$K$2:$Q$19,ROW()-ROW(B$26)+2,FALSE))</f>
        <v>-0.68862800696556059</v>
      </c>
      <c r="C33" s="30">
        <f t="shared" si="0"/>
        <v>0.79854994248427658</v>
      </c>
      <c r="D33" s="30">
        <f t="shared" si="1"/>
        <v>0.88986435481285608</v>
      </c>
    </row>
    <row r="34" spans="1:4">
      <c r="A34" s="21">
        <v>45</v>
      </c>
      <c r="B34" s="30">
        <f>IF(Introduction!$D$10="Females",HLOOKUP(Introduction!D$11,$B$2:$H$19,ROW()-ROW(B$26)+2,FALSE),HLOOKUP(Introduction!D$11,$K$2:$Q$19,ROW()-ROW(B$26)+2,FALSE))</f>
        <v>-0.61631192568392912</v>
      </c>
      <c r="C34" s="30">
        <f t="shared" si="0"/>
        <v>0.77427747965837634</v>
      </c>
      <c r="D34" s="30">
        <f t="shared" si="1"/>
        <v>0.86281632898106653</v>
      </c>
    </row>
    <row r="35" spans="1:4">
      <c r="A35" s="21">
        <v>50</v>
      </c>
      <c r="B35" s="30">
        <f>IF(Introduction!$D$10="Females",HLOOKUP(Introduction!D$11,$B$2:$H$19,ROW()-ROW(B$26)+2,FALSE),HLOOKUP(Introduction!D$11,$K$2:$Q$19,ROW()-ROW(B$26)+2,FALSE))</f>
        <v>-0.53540369879947558</v>
      </c>
      <c r="C35" s="30">
        <f t="shared" si="0"/>
        <v>0.74475043019983123</v>
      </c>
      <c r="D35" s="30">
        <f t="shared" si="1"/>
        <v>0.82991285304540474</v>
      </c>
    </row>
    <row r="36" spans="1:4">
      <c r="A36" s="21">
        <v>55</v>
      </c>
      <c r="B36" s="30">
        <f>IF(Introduction!$D$10="Females",HLOOKUP(Introduction!D$11,$B$2:$H$19,ROW()-ROW(B$26)+2,FALSE),HLOOKUP(Introduction!D$11,$K$2:$Q$19,ROW()-ROW(B$26)+2,FALSE))</f>
        <v>-0.43713086722588262</v>
      </c>
      <c r="C36" s="30">
        <f t="shared" si="0"/>
        <v>0.70563170184684654</v>
      </c>
      <c r="D36" s="30">
        <f t="shared" si="1"/>
        <v>0.78632088701428393</v>
      </c>
    </row>
    <row r="37" spans="1:4">
      <c r="A37" s="21">
        <v>60</v>
      </c>
      <c r="B37" s="30">
        <f>IF(Introduction!$D$10="Females",HLOOKUP(Introduction!D$11,$B$2:$H$19,ROW()-ROW(B$26)+2,FALSE),HLOOKUP(Introduction!D$11,$K$2:$Q$19,ROW()-ROW(B$26)+2,FALSE))</f>
        <v>-0.3186589915311997</v>
      </c>
      <c r="C37" s="30">
        <f t="shared" si="0"/>
        <v>0.65414693563731818</v>
      </c>
      <c r="D37" s="30">
        <f t="shared" si="1"/>
        <v>0.72894882319169485</v>
      </c>
    </row>
    <row r="38" spans="1:4">
      <c r="A38" s="21">
        <v>65</v>
      </c>
      <c r="B38" s="30">
        <f>IF(Introduction!$D$10="Females",HLOOKUP(Introduction!D$11,$B$2:$H$19,ROW()-ROW(B$26)+2,FALSE),HLOOKUP(Introduction!D$11,$K$2:$Q$19,ROW()-ROW(B$26)+2,FALSE))</f>
        <v>-0.16637525937102554</v>
      </c>
      <c r="C38" s="30">
        <f t="shared" si="0"/>
        <v>0.58242846953373018</v>
      </c>
      <c r="D38" s="30">
        <f t="shared" si="1"/>
        <v>0.64902933015548614</v>
      </c>
    </row>
    <row r="39" spans="1:4">
      <c r="A39" s="21">
        <v>70</v>
      </c>
      <c r="B39" s="30">
        <f>IF(Introduction!$D$10="Females",HLOOKUP(Introduction!D$11,$B$2:$H$19,ROW()-ROW(B$26)+2,FALSE),HLOOKUP(Introduction!D$11,$K$2:$Q$19,ROW()-ROW(B$26)+2,FALSE))</f>
        <v>2.5988333390229997E-2</v>
      </c>
      <c r="C39" s="30">
        <f t="shared" si="0"/>
        <v>0.48700875790657316</v>
      </c>
      <c r="D39" s="30">
        <f t="shared" si="1"/>
        <v>0.54269834745029266</v>
      </c>
    </row>
    <row r="40" spans="1:4">
      <c r="A40" s="21">
        <v>75</v>
      </c>
      <c r="B40" s="30">
        <f>IF(Introduction!$D$10="Females",HLOOKUP(Introduction!D$11,$B$2:$H$19,ROW()-ROW(B$26)+2,FALSE),HLOOKUP(Introduction!D$11,$K$2:$Q$19,ROW()-ROW(B$26)+2,FALSE))</f>
        <v>0.27789225951999852</v>
      </c>
      <c r="C40" s="30">
        <f t="shared" si="0"/>
        <v>0.36452340060045252</v>
      </c>
      <c r="D40" s="30">
        <f t="shared" si="1"/>
        <v>0.40620675480907309</v>
      </c>
    </row>
    <row r="41" spans="1:4">
      <c r="A41" s="21">
        <v>80</v>
      </c>
      <c r="B41" s="30">
        <f>IF(Introduction!$D$10="Females",HLOOKUP(Introduction!D$11,$B$2:$H$19,ROW()-ROW(B$26)+2,FALSE),HLOOKUP(Introduction!D$11,$K$2:$Q$19,ROW()-ROW(B$26)+2,FALSE))</f>
        <v>0.60865330973735543</v>
      </c>
      <c r="C41" s="30">
        <f t="shared" si="0"/>
        <v>0.22841078280632193</v>
      </c>
      <c r="D41" s="30">
        <f t="shared" si="1"/>
        <v>0.25452962057942813</v>
      </c>
    </row>
    <row r="42" spans="1:4">
      <c r="A42" s="26">
        <v>85</v>
      </c>
      <c r="B42" s="25">
        <f>IF(Introduction!$D$10="Females",HLOOKUP(Introduction!D$11,$B$2:$H$19,ROW()-ROW(B$26)+2,FALSE),HLOOKUP(Introduction!D$11,$K$2:$Q$19,ROW()-ROW(B$26)+2,FALSE))</f>
        <v>1.0566921142266263</v>
      </c>
      <c r="C42" s="25">
        <f>1/(1+EXP(2*B42))</f>
        <v>0.10780273495859073</v>
      </c>
      <c r="D42" s="25">
        <f>C42/C$26</f>
        <v>0.12013000826542107</v>
      </c>
    </row>
  </sheetData>
  <dataValidations count="1">
    <dataValidation type="decimal" allowBlank="1" showInputMessage="1" showErrorMessage="1" error="Enter valid numeric values for the logits" sqref="H3:H19 Q3:Q19">
      <formula1>-2</formula1>
      <formula2>2</formula2>
    </dataValidation>
  </dataValidations>
  <pageMargins left="0.70866141732283472" right="0.70866141732283472" top="0.74803149606299213" bottom="0.74803149606299213" header="0.31496062992125984" footer="0.31496062992125984"/>
  <pageSetup paperSize="9" orientation="portrait" r:id="rId1"/>
  <headerFooter>
    <oddHeader xml:space="preserve">&amp;L&amp;"Cambria,Bold"&amp;14Tools for Demographic Estimation&amp;R&amp;"Cambria,Bold"&amp;14Orphanhood </oddHeader>
    <oddFooter>&amp;L&amp;"+,Regular"&amp;F&amp;R&amp;"+,Regular"&amp;D  &amp;T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37"/>
  <sheetViews>
    <sheetView showGridLines="0" zoomScaleNormal="100" workbookViewId="0">
      <selection activeCell="A5" sqref="A5:B23"/>
    </sheetView>
  </sheetViews>
  <sheetFormatPr defaultRowHeight="13.2"/>
  <cols>
    <col min="1" max="1" width="9.33203125" bestFit="1" customWidth="1"/>
    <col min="2" max="2" width="10.33203125" customWidth="1"/>
    <col min="3" max="3" width="11.109375" customWidth="1"/>
    <col min="4" max="4" width="18.5546875" customWidth="1"/>
    <col min="5" max="5" width="11.44140625" customWidth="1"/>
    <col min="6" max="6" width="13.44140625" customWidth="1"/>
    <col min="7" max="7" width="12" customWidth="1"/>
    <col min="8" max="8" width="9.33203125" bestFit="1" customWidth="1"/>
    <col min="9" max="10" width="9.88671875" bestFit="1" customWidth="1"/>
    <col min="11" max="11" width="10.88671875" bestFit="1" customWidth="1"/>
    <col min="12" max="12" width="9.33203125" bestFit="1" customWidth="1"/>
    <col min="13" max="13" width="10.44140625" customWidth="1"/>
    <col min="14" max="14" width="11.33203125" customWidth="1"/>
    <col min="15" max="15" width="11" customWidth="1"/>
    <col min="16" max="16" width="11.5546875" customWidth="1"/>
    <col min="17" max="17" width="11" customWidth="1"/>
    <col min="21" max="21" width="11.88671875" customWidth="1"/>
    <col min="22" max="22" width="10.33203125" customWidth="1"/>
    <col min="23" max="23" width="11.44140625" customWidth="1"/>
    <col min="24" max="27" width="9.33203125" bestFit="1" customWidth="1"/>
    <col min="28" max="29" width="9.6640625" bestFit="1" customWidth="1"/>
    <col min="30" max="30" width="9.33203125" bestFit="1" customWidth="1"/>
    <col min="31" max="31" width="9.6640625" bestFit="1" customWidth="1"/>
    <col min="32" max="32" width="9.109375" customWidth="1"/>
    <col min="33" max="33" width="9.6640625" bestFit="1" customWidth="1"/>
    <col min="34" max="34" width="10.109375" customWidth="1"/>
    <col min="35" max="35" width="9.33203125" bestFit="1" customWidth="1"/>
    <col min="36" max="36" width="10.33203125" customWidth="1"/>
    <col min="37" max="37" width="9.33203125" bestFit="1" customWidth="1"/>
  </cols>
  <sheetData>
    <row r="1" spans="1:50" ht="15.6">
      <c r="A1" s="67" t="s">
        <v>28</v>
      </c>
      <c r="B1" s="67"/>
      <c r="C1" s="68" t="str">
        <f>Introduction!D9</f>
        <v>El Salvador</v>
      </c>
      <c r="D1" s="67"/>
      <c r="E1" s="67"/>
      <c r="F1" s="69" t="s">
        <v>30</v>
      </c>
      <c r="G1" s="67"/>
      <c r="H1" s="67"/>
      <c r="I1" s="70"/>
      <c r="J1" s="67"/>
      <c r="K1" s="67"/>
      <c r="L1" s="5"/>
      <c r="M1" s="6"/>
      <c r="N1" s="6"/>
      <c r="O1" s="6"/>
      <c r="P1" s="6"/>
      <c r="Q1" s="6"/>
      <c r="R1" s="6"/>
      <c r="T1" s="5"/>
      <c r="U1" s="5"/>
      <c r="V1" s="5"/>
      <c r="W1" s="5"/>
      <c r="X1" s="5"/>
      <c r="Y1" s="5"/>
      <c r="Z1" s="5"/>
      <c r="AA1" s="5"/>
      <c r="AB1" s="5"/>
      <c r="AC1" s="5"/>
      <c r="AD1" s="5"/>
      <c r="AE1" s="5"/>
      <c r="AF1" s="5"/>
      <c r="AG1" s="5"/>
      <c r="AH1" s="5"/>
      <c r="AI1" s="5"/>
      <c r="AJ1" s="5"/>
      <c r="AK1" s="5"/>
      <c r="AL1" s="5"/>
      <c r="AM1" s="5"/>
      <c r="AN1" s="5"/>
      <c r="AO1" s="5"/>
      <c r="AP1" s="5"/>
      <c r="AQ1" s="5"/>
      <c r="AR1" s="5"/>
    </row>
    <row r="2" spans="1:50" ht="15.6">
      <c r="A2" s="67" t="s">
        <v>29</v>
      </c>
      <c r="B2" s="71"/>
      <c r="C2" s="75">
        <f>YEAR(Introduction!D13)+YEARFRAC(DATE(YEAR(Introduction!D13),1,1),Introduction!D13,1)+YEARFRAC(Introduction!D13,Introduction!D14+1,1)/2</f>
        <v>1961.5</v>
      </c>
      <c r="D2" s="74" t="s">
        <v>54</v>
      </c>
      <c r="E2" s="75">
        <f>YEAR(Introduction!D12)+YEARFRAC(DATE(YEAR(Introduction!D12),1,1),Introduction!D12,1)</f>
        <v>1961.3397260273973</v>
      </c>
      <c r="F2" s="69" t="s">
        <v>56</v>
      </c>
      <c r="G2" s="78">
        <v>5</v>
      </c>
      <c r="H2" s="67"/>
      <c r="I2" s="70"/>
      <c r="J2" s="67"/>
      <c r="K2" s="67"/>
      <c r="L2" s="5"/>
      <c r="M2" s="6"/>
      <c r="N2" s="6"/>
      <c r="O2" s="6"/>
      <c r="P2" s="6"/>
      <c r="Q2" s="6"/>
      <c r="R2" s="6"/>
      <c r="T2" s="5"/>
      <c r="U2" s="5"/>
      <c r="V2" s="5"/>
      <c r="W2" s="5"/>
      <c r="X2" s="5"/>
      <c r="Y2" s="5"/>
      <c r="Z2" s="5"/>
      <c r="AA2" s="5"/>
      <c r="AB2" s="5"/>
      <c r="AC2" s="5"/>
      <c r="AD2" s="5"/>
      <c r="AE2" s="5"/>
      <c r="AF2" s="5"/>
      <c r="AG2" s="5"/>
      <c r="AH2" s="5"/>
      <c r="AI2" s="5"/>
      <c r="AJ2" s="5"/>
      <c r="AK2" s="5"/>
      <c r="AL2" s="5"/>
      <c r="AM2" s="5"/>
      <c r="AN2" s="5"/>
      <c r="AO2" s="5"/>
      <c r="AP2" s="5"/>
      <c r="AQ2" s="5"/>
      <c r="AR2" s="5"/>
    </row>
    <row r="3" spans="1:50" ht="15.6">
      <c r="A3" s="67" t="s">
        <v>32</v>
      </c>
      <c r="B3" s="67"/>
      <c r="C3" s="67" t="str">
        <f>Introduction!D10</f>
        <v>Females</v>
      </c>
      <c r="D3" s="74" t="s">
        <v>61</v>
      </c>
      <c r="E3" s="76">
        <f>YEARFRAC(Introduction!D13,Introduction!D14+1,1)</f>
        <v>1</v>
      </c>
      <c r="F3" s="69" t="s">
        <v>55</v>
      </c>
      <c r="G3" s="78">
        <v>69</v>
      </c>
      <c r="H3" s="73" t="str">
        <f>"&lt;-- must be less than "&amp;MAX(B20:B23)+5</f>
        <v>&lt;-- must be less than 75</v>
      </c>
      <c r="I3" s="67"/>
      <c r="J3" s="77"/>
      <c r="K3" s="67"/>
      <c r="L3" s="5"/>
      <c r="M3" s="6"/>
      <c r="N3" s="6"/>
      <c r="O3" s="6"/>
      <c r="P3" s="6"/>
      <c r="Q3" s="6"/>
      <c r="R3" s="6"/>
      <c r="T3" s="5"/>
      <c r="U3" s="5"/>
      <c r="V3" s="5"/>
      <c r="W3" s="5"/>
      <c r="X3" s="5"/>
      <c r="Y3" s="5"/>
      <c r="Z3" s="5"/>
      <c r="AA3" s="5"/>
      <c r="AB3" s="5"/>
      <c r="AC3" s="5"/>
      <c r="AD3" s="5"/>
      <c r="AE3" s="5"/>
      <c r="AF3" s="5"/>
      <c r="AG3" s="5"/>
      <c r="AH3" s="5"/>
      <c r="AI3" s="5"/>
      <c r="AJ3" s="5"/>
      <c r="AK3" s="5"/>
      <c r="AL3" s="5"/>
      <c r="AM3" s="5"/>
      <c r="AN3" s="5"/>
      <c r="AO3" s="5"/>
      <c r="AP3" s="5"/>
      <c r="AQ3" s="5"/>
      <c r="AR3" s="5"/>
    </row>
    <row r="4" spans="1:50" ht="15.6">
      <c r="A4" s="5"/>
      <c r="B4" s="5"/>
      <c r="C4" s="5"/>
      <c r="D4" s="5"/>
      <c r="E4" s="5"/>
      <c r="F4" s="5"/>
      <c r="G4" s="5"/>
      <c r="H4" s="5"/>
      <c r="I4" s="11"/>
      <c r="J4" s="5"/>
      <c r="K4" s="5"/>
      <c r="L4" s="5"/>
      <c r="M4" s="6"/>
      <c r="T4" s="5"/>
      <c r="U4" s="5"/>
      <c r="V4" s="5"/>
      <c r="W4" s="5"/>
      <c r="X4" s="5"/>
      <c r="Y4" s="5"/>
      <c r="Z4" s="5"/>
      <c r="AA4" s="5"/>
      <c r="AB4" s="5"/>
      <c r="AC4" s="5"/>
      <c r="AD4" s="5"/>
      <c r="AE4" s="5"/>
      <c r="AF4" s="5"/>
      <c r="AG4" s="5"/>
      <c r="AH4" s="5"/>
      <c r="AI4" s="5"/>
      <c r="AJ4" s="5"/>
      <c r="AK4" s="5"/>
      <c r="AL4" s="5"/>
      <c r="AM4" s="5"/>
      <c r="AN4" s="5"/>
      <c r="AO4" s="5"/>
      <c r="AP4" s="5"/>
      <c r="AQ4" s="5"/>
      <c r="AR4" s="5"/>
    </row>
    <row r="5" spans="1:50" ht="27.6">
      <c r="A5" s="79" t="s">
        <v>3</v>
      </c>
      <c r="B5" s="79" t="s">
        <v>2</v>
      </c>
      <c r="C5" s="80" t="s">
        <v>89</v>
      </c>
      <c r="D5" s="80" t="s">
        <v>90</v>
      </c>
      <c r="E5" s="81" t="s">
        <v>60</v>
      </c>
      <c r="F5" s="81" t="s">
        <v>6</v>
      </c>
      <c r="G5" s="81" t="s">
        <v>7</v>
      </c>
      <c r="H5" s="81" t="s">
        <v>8</v>
      </c>
      <c r="I5" s="81" t="s">
        <v>77</v>
      </c>
      <c r="J5" s="81" t="s">
        <v>57</v>
      </c>
      <c r="K5" s="82" t="s">
        <v>78</v>
      </c>
      <c r="L5" s="81" t="s">
        <v>9</v>
      </c>
      <c r="M5" s="83" t="s">
        <v>58</v>
      </c>
      <c r="T5" s="5"/>
      <c r="U5" s="5"/>
      <c r="V5" s="5"/>
      <c r="W5" s="5"/>
      <c r="X5" s="5"/>
      <c r="Y5" s="5"/>
      <c r="Z5" s="5"/>
      <c r="AA5" s="5"/>
      <c r="AB5" s="5"/>
      <c r="AC5" s="5"/>
      <c r="AD5" s="5"/>
      <c r="AE5" s="5"/>
      <c r="AF5" s="5"/>
      <c r="AG5" s="5"/>
      <c r="AH5" s="5"/>
      <c r="AI5" s="5"/>
      <c r="AJ5" s="5"/>
      <c r="AK5" s="5"/>
      <c r="AL5" s="5"/>
      <c r="AM5" s="5"/>
      <c r="AN5" s="5"/>
      <c r="AO5" s="5"/>
      <c r="AP5" s="5"/>
      <c r="AQ5" s="5"/>
      <c r="AR5" s="5"/>
    </row>
    <row r="6" spans="1:50" ht="15.6">
      <c r="A6" s="12">
        <f>COLUMN()</f>
        <v>1</v>
      </c>
      <c r="B6" s="12">
        <f>COLUMN()</f>
        <v>2</v>
      </c>
      <c r="C6" s="12">
        <f>COLUMN()</f>
        <v>3</v>
      </c>
      <c r="D6" s="12">
        <f>COLUMN()</f>
        <v>4</v>
      </c>
      <c r="E6" s="12">
        <f>COLUMN()</f>
        <v>5</v>
      </c>
      <c r="F6" s="12">
        <f>COLUMN()</f>
        <v>6</v>
      </c>
      <c r="G6" s="12">
        <f>COLUMN()</f>
        <v>7</v>
      </c>
      <c r="H6" s="12">
        <f>COLUMN()</f>
        <v>8</v>
      </c>
      <c r="I6" s="12">
        <f>COLUMN()</f>
        <v>9</v>
      </c>
      <c r="J6" s="12">
        <f>COLUMN()</f>
        <v>10</v>
      </c>
      <c r="K6" s="12">
        <f>COLUMN()</f>
        <v>11</v>
      </c>
      <c r="L6" s="12">
        <f>COLUMN()</f>
        <v>12</v>
      </c>
      <c r="M6" s="7">
        <f>COLUMN()</f>
        <v>13</v>
      </c>
      <c r="T6" s="5"/>
      <c r="U6" s="5"/>
      <c r="V6" s="5"/>
      <c r="W6" s="5"/>
      <c r="X6" s="5"/>
      <c r="Y6" s="5"/>
      <c r="Z6" s="5"/>
      <c r="AA6" s="5"/>
      <c r="AB6" s="5"/>
      <c r="AC6" s="5"/>
      <c r="AD6" s="5"/>
      <c r="AE6" s="5"/>
      <c r="AF6" s="5"/>
      <c r="AG6" s="5"/>
      <c r="AH6" s="5"/>
      <c r="AI6" s="5"/>
      <c r="AJ6" s="5"/>
      <c r="AK6" s="5"/>
      <c r="AL6" s="5"/>
      <c r="AM6" s="5"/>
      <c r="AN6" s="5"/>
      <c r="AO6" s="5"/>
      <c r="AP6" s="5"/>
      <c r="AQ6" s="5"/>
      <c r="AR6" s="5"/>
    </row>
    <row r="7" spans="1:50" ht="15.6">
      <c r="A7" s="13" t="s">
        <v>12</v>
      </c>
      <c r="B7" s="5">
        <v>0</v>
      </c>
      <c r="C7" s="78">
        <v>214089</v>
      </c>
      <c r="D7" s="78">
        <v>6909</v>
      </c>
      <c r="E7" s="16">
        <f t="shared" ref="E7:E19" si="0">E8+C7</f>
        <v>1274253</v>
      </c>
      <c r="F7" s="16">
        <f t="shared" ref="F7:F19" si="1">F8+D7</f>
        <v>13652</v>
      </c>
      <c r="G7" s="16">
        <f t="shared" ref="G7:G24" si="2">E$3*E7</f>
        <v>1274253</v>
      </c>
      <c r="H7" s="16"/>
      <c r="I7" s="14"/>
      <c r="J7" s="10">
        <v>0</v>
      </c>
      <c r="K7" s="5"/>
      <c r="L7" s="10">
        <f t="shared" ref="L7:L18" ca="1" si="3">M$26+M$27*J7</f>
        <v>2.8733201252595309E-2</v>
      </c>
      <c r="M7" s="8"/>
      <c r="T7" s="5"/>
      <c r="U7" s="5"/>
      <c r="V7" s="5"/>
      <c r="W7" s="5"/>
      <c r="X7" s="5"/>
      <c r="Y7" s="5"/>
      <c r="Z7" s="5"/>
      <c r="AA7" s="5"/>
      <c r="AB7" s="5"/>
      <c r="AC7" s="5"/>
      <c r="AD7" s="5"/>
      <c r="AE7" s="5"/>
      <c r="AF7" s="5"/>
      <c r="AG7" s="5"/>
      <c r="AH7" s="5"/>
      <c r="AI7" s="5"/>
      <c r="AJ7" s="5"/>
      <c r="AK7" s="5"/>
      <c r="AL7" s="5"/>
      <c r="AM7" s="5"/>
      <c r="AN7" s="5"/>
      <c r="AO7" s="5"/>
      <c r="AP7" s="5"/>
      <c r="AQ7" s="5"/>
      <c r="AR7" s="5"/>
      <c r="AW7" s="5"/>
      <c r="AX7" s="5"/>
    </row>
    <row r="8" spans="1:50" ht="15.6">
      <c r="A8" s="13" t="s">
        <v>13</v>
      </c>
      <c r="B8" s="5">
        <v>5</v>
      </c>
      <c r="C8" s="78">
        <v>190234</v>
      </c>
      <c r="D8" s="78">
        <v>610</v>
      </c>
      <c r="E8" s="16">
        <f t="shared" si="0"/>
        <v>1060164</v>
      </c>
      <c r="F8" s="16">
        <f t="shared" si="1"/>
        <v>6743</v>
      </c>
      <c r="G8" s="16">
        <f t="shared" si="2"/>
        <v>1060164</v>
      </c>
      <c r="H8" s="16">
        <f t="shared" ref="H8:H19" si="4">E$3*(C7*C8)^0.5/5</f>
        <v>40361.866570316095</v>
      </c>
      <c r="I8" s="10">
        <f t="shared" ref="I8:I19" si="5">IF(H8="",NA(),H8/G8)</f>
        <v>3.8071342330352753E-2</v>
      </c>
      <c r="J8" s="10">
        <f t="shared" ref="J8:J23" si="6">IF(H8="",NA(),F8/G8)</f>
        <v>6.3603367026233678E-3</v>
      </c>
      <c r="K8" s="10">
        <f>IF(H8="",NA(),I8)</f>
        <v>3.8071342330352753E-2</v>
      </c>
      <c r="L8" s="10">
        <f t="shared" ca="1" si="3"/>
        <v>3.6490918387187848E-2</v>
      </c>
      <c r="M8" s="8">
        <f t="shared" ref="M8:M14" ca="1" si="7">IF(G$2&lt;B9,K8-L8,NA())</f>
        <v>1.5804239431649048E-3</v>
      </c>
      <c r="T8" s="5"/>
      <c r="U8" s="5"/>
      <c r="V8" s="5"/>
      <c r="W8" s="5"/>
      <c r="X8" s="5"/>
      <c r="Y8" s="5"/>
      <c r="Z8" s="5"/>
      <c r="AA8" s="5"/>
      <c r="AB8" s="5"/>
      <c r="AC8" s="5"/>
      <c r="AD8" s="5"/>
      <c r="AE8" s="5"/>
      <c r="AF8" s="5"/>
      <c r="AG8" s="5"/>
      <c r="AH8" s="5"/>
      <c r="AI8" s="5"/>
      <c r="AJ8" s="5"/>
      <c r="AK8" s="5"/>
      <c r="AL8" s="5"/>
      <c r="AM8" s="5"/>
      <c r="AN8" s="5"/>
      <c r="AO8" s="5"/>
      <c r="AP8" s="5"/>
      <c r="AQ8" s="5"/>
      <c r="AR8" s="5"/>
    </row>
    <row r="9" spans="1:50" ht="15.6">
      <c r="A9" s="13" t="s">
        <v>14</v>
      </c>
      <c r="B9" s="5">
        <v>10</v>
      </c>
      <c r="C9" s="78">
        <v>149538</v>
      </c>
      <c r="D9" s="78">
        <v>214</v>
      </c>
      <c r="E9" s="16">
        <f t="shared" si="0"/>
        <v>869930</v>
      </c>
      <c r="F9" s="16">
        <f t="shared" si="1"/>
        <v>6133</v>
      </c>
      <c r="G9" s="16">
        <f t="shared" si="2"/>
        <v>869930</v>
      </c>
      <c r="H9" s="16">
        <f t="shared" si="4"/>
        <v>33732.602563099106</v>
      </c>
      <c r="I9" s="10">
        <f t="shared" si="5"/>
        <v>3.877622632062247E-2</v>
      </c>
      <c r="J9" s="10">
        <f t="shared" si="6"/>
        <v>7.0499925281344474E-3</v>
      </c>
      <c r="K9" s="10">
        <f t="shared" ref="K9:K18" si="8">IF(H9="",NA(),I9)</f>
        <v>3.877622632062247E-2</v>
      </c>
      <c r="L9" s="10">
        <f t="shared" ca="1" si="3"/>
        <v>3.7332093165298598E-2</v>
      </c>
      <c r="M9" s="8">
        <f t="shared" ca="1" si="7"/>
        <v>1.444133155323872E-3</v>
      </c>
      <c r="T9" s="5"/>
      <c r="U9" s="5"/>
      <c r="V9" s="5"/>
      <c r="W9" s="5"/>
      <c r="X9" s="5"/>
      <c r="Y9" s="5"/>
      <c r="Z9" s="5"/>
      <c r="AA9" s="5"/>
      <c r="AB9" s="5"/>
      <c r="AC9" s="5"/>
      <c r="AD9" s="5"/>
      <c r="AE9" s="5"/>
      <c r="AF9" s="5"/>
      <c r="AG9" s="5"/>
      <c r="AH9" s="5"/>
      <c r="AI9" s="5"/>
      <c r="AJ9" s="5"/>
      <c r="AK9" s="5"/>
      <c r="AL9" s="5"/>
      <c r="AM9" s="5"/>
      <c r="AN9" s="5"/>
      <c r="AO9" s="5"/>
      <c r="AP9" s="5"/>
      <c r="AQ9" s="5"/>
      <c r="AR9" s="5"/>
    </row>
    <row r="10" spans="1:50" ht="15.6">
      <c r="A10" s="13" t="s">
        <v>15</v>
      </c>
      <c r="B10" s="5">
        <v>15</v>
      </c>
      <c r="C10" s="78">
        <v>125040</v>
      </c>
      <c r="D10" s="78">
        <v>266</v>
      </c>
      <c r="E10" s="16">
        <f t="shared" si="0"/>
        <v>720392</v>
      </c>
      <c r="F10" s="16">
        <f t="shared" si="1"/>
        <v>5919</v>
      </c>
      <c r="G10" s="16">
        <f t="shared" si="2"/>
        <v>720392</v>
      </c>
      <c r="H10" s="16">
        <f t="shared" si="4"/>
        <v>27348.295391120813</v>
      </c>
      <c r="I10" s="10">
        <f t="shared" si="5"/>
        <v>3.7963074813602615E-2</v>
      </c>
      <c r="J10" s="10">
        <f t="shared" si="6"/>
        <v>8.216359981787694E-3</v>
      </c>
      <c r="K10" s="10">
        <f t="shared" si="8"/>
        <v>3.7963074813602615E-2</v>
      </c>
      <c r="L10" s="10">
        <f t="shared" ca="1" si="3"/>
        <v>3.8754714199921624E-2</v>
      </c>
      <c r="M10" s="8">
        <f t="shared" ca="1" si="7"/>
        <v>-7.9163938631900826E-4</v>
      </c>
      <c r="T10" s="5"/>
      <c r="U10" s="5"/>
      <c r="V10" s="5"/>
      <c r="W10" s="5"/>
      <c r="X10" s="5"/>
      <c r="Y10" s="5"/>
      <c r="Z10" s="5"/>
      <c r="AA10" s="5"/>
      <c r="AB10" s="5"/>
      <c r="AC10" s="5"/>
      <c r="AD10" s="5"/>
      <c r="AE10" s="5"/>
      <c r="AF10" s="5"/>
      <c r="AG10" s="5"/>
      <c r="AH10" s="5"/>
      <c r="AI10" s="5"/>
      <c r="AJ10" s="5"/>
      <c r="AK10" s="5"/>
      <c r="AL10" s="5"/>
      <c r="AM10" s="5"/>
      <c r="AN10" s="5"/>
      <c r="AO10" s="5"/>
      <c r="AP10" s="5"/>
      <c r="AQ10" s="5"/>
      <c r="AR10" s="5"/>
    </row>
    <row r="11" spans="1:50" ht="15.6">
      <c r="A11" s="13" t="s">
        <v>16</v>
      </c>
      <c r="B11" s="5">
        <v>20</v>
      </c>
      <c r="C11" s="78">
        <v>113490</v>
      </c>
      <c r="D11" s="78">
        <v>291</v>
      </c>
      <c r="E11" s="16">
        <f t="shared" si="0"/>
        <v>595352</v>
      </c>
      <c r="F11" s="16">
        <f t="shared" si="1"/>
        <v>5653</v>
      </c>
      <c r="G11" s="16">
        <f t="shared" si="2"/>
        <v>595352</v>
      </c>
      <c r="H11" s="16">
        <f t="shared" si="4"/>
        <v>23825.020125909654</v>
      </c>
      <c r="I11" s="10">
        <f t="shared" si="5"/>
        <v>4.0018375895116927E-2</v>
      </c>
      <c r="J11" s="10">
        <f t="shared" si="6"/>
        <v>9.4952229941278436E-3</v>
      </c>
      <c r="K11" s="10">
        <f t="shared" si="8"/>
        <v>4.0018375895116927E-2</v>
      </c>
      <c r="L11" s="10">
        <f t="shared" ca="1" si="3"/>
        <v>4.0314546323201479E-2</v>
      </c>
      <c r="M11" s="8">
        <f t="shared" ca="1" si="7"/>
        <v>-2.961704280845523E-4</v>
      </c>
      <c r="T11" s="5"/>
      <c r="U11" s="5"/>
      <c r="V11" s="5"/>
      <c r="W11" s="5"/>
      <c r="X11" s="5"/>
      <c r="Y11" s="5"/>
      <c r="Z11" s="5"/>
      <c r="AA11" s="5"/>
      <c r="AB11" s="5"/>
      <c r="AC11" s="5"/>
      <c r="AD11" s="5"/>
      <c r="AE11" s="5"/>
      <c r="AF11" s="5"/>
      <c r="AG11" s="5"/>
      <c r="AH11" s="5"/>
      <c r="AI11" s="5"/>
      <c r="AJ11" s="5"/>
      <c r="AK11" s="5"/>
      <c r="AL11" s="5"/>
      <c r="AM11" s="5"/>
      <c r="AN11" s="5"/>
      <c r="AO11" s="5"/>
      <c r="AP11" s="5"/>
      <c r="AQ11" s="5"/>
      <c r="AR11" s="5"/>
    </row>
    <row r="12" spans="1:50" ht="15.6">
      <c r="A12" s="13" t="s">
        <v>17</v>
      </c>
      <c r="B12" s="5">
        <v>25</v>
      </c>
      <c r="C12" s="78">
        <v>91663</v>
      </c>
      <c r="D12" s="78">
        <v>271</v>
      </c>
      <c r="E12" s="16">
        <f t="shared" si="0"/>
        <v>481862</v>
      </c>
      <c r="F12" s="16">
        <f t="shared" si="1"/>
        <v>5362</v>
      </c>
      <c r="G12" s="16">
        <f t="shared" si="2"/>
        <v>481862</v>
      </c>
      <c r="H12" s="16">
        <f t="shared" si="4"/>
        <v>20398.856703256679</v>
      </c>
      <c r="I12" s="10">
        <f t="shared" si="5"/>
        <v>4.2333399818322834E-2</v>
      </c>
      <c r="J12" s="10">
        <f t="shared" si="6"/>
        <v>1.112766725743055E-2</v>
      </c>
      <c r="K12" s="10">
        <f t="shared" si="8"/>
        <v>4.2333399818322834E-2</v>
      </c>
      <c r="L12" s="10">
        <f t="shared" ca="1" si="3"/>
        <v>4.2305642302046018E-2</v>
      </c>
      <c r="M12" s="8">
        <f t="shared" ca="1" si="7"/>
        <v>2.7757516276816219E-5</v>
      </c>
      <c r="T12" s="5"/>
      <c r="U12" s="5"/>
      <c r="V12" s="5"/>
      <c r="W12" s="5"/>
      <c r="X12" s="5"/>
      <c r="Y12" s="5"/>
      <c r="Z12" s="5"/>
      <c r="AA12" s="5"/>
      <c r="AB12" s="5"/>
      <c r="AC12" s="5"/>
      <c r="AD12" s="5"/>
      <c r="AE12" s="5"/>
      <c r="AF12" s="5"/>
      <c r="AG12" s="5"/>
      <c r="AH12" s="5"/>
      <c r="AI12" s="5"/>
      <c r="AJ12" s="5"/>
      <c r="AK12" s="5"/>
      <c r="AL12" s="5"/>
      <c r="AM12" s="5"/>
      <c r="AN12" s="5"/>
      <c r="AO12" s="5"/>
      <c r="AP12" s="5"/>
      <c r="AQ12" s="5"/>
      <c r="AR12" s="5"/>
    </row>
    <row r="13" spans="1:50" ht="15.6">
      <c r="A13" s="13" t="s">
        <v>18</v>
      </c>
      <c r="B13" s="5">
        <v>30</v>
      </c>
      <c r="C13" s="78">
        <v>77711</v>
      </c>
      <c r="D13" s="78">
        <v>315</v>
      </c>
      <c r="E13" s="16">
        <f t="shared" si="0"/>
        <v>390199</v>
      </c>
      <c r="F13" s="16">
        <f t="shared" si="1"/>
        <v>5091</v>
      </c>
      <c r="G13" s="16">
        <f t="shared" si="2"/>
        <v>390199</v>
      </c>
      <c r="H13" s="16">
        <f t="shared" si="4"/>
        <v>16879.838142588927</v>
      </c>
      <c r="I13" s="10">
        <f t="shared" si="5"/>
        <v>4.3259562793828088E-2</v>
      </c>
      <c r="J13" s="10">
        <f t="shared" si="6"/>
        <v>1.3047188742154645E-2</v>
      </c>
      <c r="K13" s="10">
        <f t="shared" si="8"/>
        <v>4.3259562793828088E-2</v>
      </c>
      <c r="L13" s="10">
        <f t="shared" ca="1" si="3"/>
        <v>4.4646887020446016E-2</v>
      </c>
      <c r="M13" s="8">
        <f t="shared" ca="1" si="7"/>
        <v>-1.3873242266179281E-3</v>
      </c>
      <c r="T13" s="5"/>
      <c r="U13" s="5"/>
      <c r="V13" s="5"/>
      <c r="W13" s="5"/>
      <c r="X13" s="5"/>
      <c r="Y13" s="5"/>
      <c r="Z13" s="5"/>
      <c r="AA13" s="5"/>
      <c r="AB13" s="5"/>
      <c r="AC13" s="5"/>
      <c r="AD13" s="5"/>
      <c r="AE13" s="5"/>
      <c r="AF13" s="5"/>
      <c r="AG13" s="5"/>
      <c r="AH13" s="5"/>
      <c r="AI13" s="5"/>
      <c r="AJ13" s="5"/>
      <c r="AK13" s="5"/>
      <c r="AL13" s="5"/>
      <c r="AM13" s="5"/>
      <c r="AN13" s="5"/>
      <c r="AO13" s="5"/>
      <c r="AP13" s="5"/>
      <c r="AQ13" s="5"/>
      <c r="AR13" s="5"/>
    </row>
    <row r="14" spans="1:50" ht="15.6">
      <c r="A14" s="13" t="s">
        <v>19</v>
      </c>
      <c r="B14" s="5">
        <v>35</v>
      </c>
      <c r="C14" s="78">
        <v>72936</v>
      </c>
      <c r="D14" s="78">
        <v>349</v>
      </c>
      <c r="E14" s="16">
        <f t="shared" si="0"/>
        <v>312488</v>
      </c>
      <c r="F14" s="16">
        <f t="shared" si="1"/>
        <v>4776</v>
      </c>
      <c r="G14" s="16">
        <f t="shared" si="2"/>
        <v>312488</v>
      </c>
      <c r="H14" s="16">
        <f t="shared" si="4"/>
        <v>15057.130531412684</v>
      </c>
      <c r="I14" s="10">
        <f t="shared" si="5"/>
        <v>4.8184667991771471E-2</v>
      </c>
      <c r="J14" s="10">
        <f t="shared" si="6"/>
        <v>1.528378689741686E-2</v>
      </c>
      <c r="K14" s="10">
        <f t="shared" si="8"/>
        <v>4.8184667991771471E-2</v>
      </c>
      <c r="L14" s="10">
        <f t="shared" ca="1" si="3"/>
        <v>4.7374870874684311E-2</v>
      </c>
      <c r="M14" s="8">
        <f t="shared" ca="1" si="7"/>
        <v>8.097971170871604E-4</v>
      </c>
      <c r="T14" s="5"/>
      <c r="U14" s="5"/>
      <c r="V14" s="5"/>
      <c r="W14" s="5"/>
      <c r="X14" s="5"/>
      <c r="Y14" s="5"/>
      <c r="Z14" s="5"/>
      <c r="AA14" s="5"/>
      <c r="AB14" s="5"/>
      <c r="AC14" s="5"/>
      <c r="AD14" s="5"/>
      <c r="AE14" s="5"/>
      <c r="AF14" s="5"/>
      <c r="AG14" s="5"/>
      <c r="AH14" s="5"/>
      <c r="AI14" s="5"/>
      <c r="AJ14" s="5"/>
      <c r="AK14" s="5"/>
      <c r="AL14" s="5"/>
      <c r="AM14" s="5"/>
      <c r="AN14" s="5"/>
      <c r="AO14" s="5"/>
      <c r="AP14" s="5"/>
      <c r="AQ14" s="5"/>
      <c r="AR14" s="5"/>
    </row>
    <row r="15" spans="1:50" ht="15.6">
      <c r="A15" s="13" t="s">
        <v>20</v>
      </c>
      <c r="B15" s="5">
        <v>40</v>
      </c>
      <c r="C15" s="78">
        <v>56942</v>
      </c>
      <c r="D15" s="78">
        <v>338</v>
      </c>
      <c r="E15" s="16">
        <f t="shared" si="0"/>
        <v>239552</v>
      </c>
      <c r="F15" s="16">
        <f t="shared" si="1"/>
        <v>4427</v>
      </c>
      <c r="G15" s="16">
        <f t="shared" si="2"/>
        <v>239552</v>
      </c>
      <c r="H15" s="16">
        <f t="shared" si="4"/>
        <v>12888.943652603963</v>
      </c>
      <c r="I15" s="10">
        <f t="shared" si="5"/>
        <v>5.3804366703696746E-2</v>
      </c>
      <c r="J15" s="10">
        <f t="shared" si="6"/>
        <v>1.848032994923858E-2</v>
      </c>
      <c r="K15" s="10">
        <f t="shared" si="8"/>
        <v>5.3804366703696746E-2</v>
      </c>
      <c r="L15" s="10">
        <f t="shared" ca="1" si="3"/>
        <v>5.1273701701415861E-2</v>
      </c>
      <c r="M15" s="8">
        <f ca="1">K15-L15</f>
        <v>2.5306650022808852E-3</v>
      </c>
      <c r="T15" s="5"/>
      <c r="U15" s="5"/>
      <c r="V15" s="5"/>
      <c r="W15" s="5"/>
      <c r="X15" s="5"/>
      <c r="Y15" s="5"/>
      <c r="Z15" s="5"/>
      <c r="AA15" s="5"/>
      <c r="AB15" s="5"/>
      <c r="AC15" s="5"/>
      <c r="AD15" s="5"/>
      <c r="AE15" s="5"/>
      <c r="AF15" s="5"/>
      <c r="AG15" s="5"/>
      <c r="AH15" s="5"/>
      <c r="AI15" s="5"/>
      <c r="AJ15" s="5"/>
      <c r="AK15" s="5"/>
      <c r="AL15" s="5"/>
      <c r="AM15" s="5"/>
      <c r="AN15" s="5"/>
      <c r="AO15" s="5"/>
      <c r="AP15" s="5"/>
      <c r="AQ15" s="5"/>
      <c r="AR15" s="5"/>
    </row>
    <row r="16" spans="1:50" ht="15.6">
      <c r="A16" s="13" t="s">
        <v>21</v>
      </c>
      <c r="B16" s="5">
        <v>45</v>
      </c>
      <c r="C16" s="78">
        <v>46205</v>
      </c>
      <c r="D16" s="78">
        <v>357</v>
      </c>
      <c r="E16" s="16">
        <f t="shared" si="0"/>
        <v>182610</v>
      </c>
      <c r="F16" s="16">
        <f t="shared" si="1"/>
        <v>4089</v>
      </c>
      <c r="G16" s="16">
        <f t="shared" si="2"/>
        <v>182610</v>
      </c>
      <c r="H16" s="16">
        <f t="shared" si="4"/>
        <v>10258.664844900628</v>
      </c>
      <c r="I16" s="10">
        <f t="shared" si="5"/>
        <v>5.6178001450635937E-2</v>
      </c>
      <c r="J16" s="10">
        <f t="shared" si="6"/>
        <v>2.2391982914407756E-2</v>
      </c>
      <c r="K16" s="10">
        <f t="shared" si="8"/>
        <v>5.6178001450635937E-2</v>
      </c>
      <c r="L16" s="10">
        <f t="shared" ca="1" si="3"/>
        <v>5.6044753715054754E-2</v>
      </c>
      <c r="M16" s="8">
        <f ca="1">K16-L16</f>
        <v>1.332477355811823E-4</v>
      </c>
      <c r="T16" s="5"/>
      <c r="U16" s="5"/>
      <c r="V16" s="5"/>
      <c r="W16" s="5"/>
      <c r="X16" s="5"/>
      <c r="Y16" s="5"/>
      <c r="Z16" s="5"/>
      <c r="AA16" s="5"/>
      <c r="AB16" s="5"/>
      <c r="AC16" s="5"/>
      <c r="AD16" s="5"/>
      <c r="AE16" s="5"/>
      <c r="AF16" s="5"/>
      <c r="AG16" s="5"/>
      <c r="AH16" s="5"/>
      <c r="AI16" s="5"/>
      <c r="AJ16" s="5"/>
      <c r="AK16" s="5"/>
      <c r="AL16" s="5"/>
      <c r="AM16" s="5"/>
      <c r="AN16" s="5"/>
      <c r="AO16" s="5"/>
      <c r="AP16" s="5"/>
      <c r="AQ16" s="5"/>
      <c r="AR16" s="5"/>
    </row>
    <row r="17" spans="1:44" ht="15.6">
      <c r="A17" s="13" t="s">
        <v>22</v>
      </c>
      <c r="B17" s="5">
        <v>50</v>
      </c>
      <c r="C17" s="78">
        <v>38616</v>
      </c>
      <c r="D17" s="78">
        <v>385</v>
      </c>
      <c r="E17" s="16">
        <f t="shared" si="0"/>
        <v>136405</v>
      </c>
      <c r="F17" s="16">
        <f t="shared" si="1"/>
        <v>3732</v>
      </c>
      <c r="G17" s="16">
        <f t="shared" si="2"/>
        <v>136405</v>
      </c>
      <c r="H17" s="16">
        <f t="shared" si="4"/>
        <v>8448.0821018737734</v>
      </c>
      <c r="I17" s="10">
        <f t="shared" si="5"/>
        <v>6.1933815489709124E-2</v>
      </c>
      <c r="J17" s="10">
        <f t="shared" si="6"/>
        <v>2.7359700890729814E-2</v>
      </c>
      <c r="K17" s="10">
        <f t="shared" si="8"/>
        <v>6.1933815489709124E-2</v>
      </c>
      <c r="L17" s="10">
        <f t="shared" ca="1" si="3"/>
        <v>6.2103890623458002E-2</v>
      </c>
      <c r="M17" s="8">
        <f ca="1">K17-L17</f>
        <v>-1.7007513374887873E-4</v>
      </c>
      <c r="T17" s="5"/>
      <c r="U17" s="5"/>
      <c r="V17" s="5"/>
      <c r="W17" s="5"/>
      <c r="X17" s="5"/>
      <c r="Y17" s="5"/>
      <c r="Z17" s="5"/>
      <c r="AA17" s="5"/>
      <c r="AB17" s="5"/>
      <c r="AC17" s="5"/>
      <c r="AD17" s="5"/>
      <c r="AE17" s="5"/>
      <c r="AF17" s="5"/>
      <c r="AG17" s="5"/>
      <c r="AH17" s="5"/>
      <c r="AI17" s="5"/>
      <c r="AJ17" s="5"/>
      <c r="AK17" s="5"/>
      <c r="AL17" s="5"/>
      <c r="AM17" s="5"/>
      <c r="AN17" s="5"/>
      <c r="AO17" s="5"/>
      <c r="AP17" s="5"/>
      <c r="AQ17" s="5"/>
      <c r="AR17" s="5"/>
    </row>
    <row r="18" spans="1:44" ht="15.6">
      <c r="A18" s="13" t="s">
        <v>23</v>
      </c>
      <c r="B18" s="5">
        <v>55</v>
      </c>
      <c r="C18" s="78">
        <v>26154</v>
      </c>
      <c r="D18" s="78">
        <v>387</v>
      </c>
      <c r="E18" s="16">
        <f t="shared" si="0"/>
        <v>97789</v>
      </c>
      <c r="F18" s="16">
        <f t="shared" si="1"/>
        <v>3347</v>
      </c>
      <c r="G18" s="16">
        <f t="shared" si="2"/>
        <v>97789</v>
      </c>
      <c r="H18" s="16">
        <f t="shared" si="4"/>
        <v>6355.9825802152727</v>
      </c>
      <c r="I18" s="10">
        <f t="shared" si="5"/>
        <v>6.4996907425326697E-2</v>
      </c>
      <c r="J18" s="10">
        <f t="shared" si="6"/>
        <v>3.42267535203346E-2</v>
      </c>
      <c r="K18" s="10">
        <f t="shared" si="8"/>
        <v>6.4996907425326697E-2</v>
      </c>
      <c r="L18" s="10">
        <f t="shared" ca="1" si="3"/>
        <v>7.0479650326063223E-2</v>
      </c>
      <c r="M18" s="8">
        <f ca="1">K18-L18</f>
        <v>-5.4827429007365258E-3</v>
      </c>
      <c r="T18" s="5"/>
      <c r="U18" s="5"/>
      <c r="V18" s="5"/>
      <c r="W18" s="5"/>
      <c r="X18" s="5"/>
      <c r="Y18" s="5"/>
      <c r="Z18" s="5"/>
      <c r="AA18" s="5"/>
      <c r="AB18" s="5"/>
      <c r="AC18" s="5"/>
      <c r="AD18" s="5"/>
      <c r="AE18" s="5"/>
      <c r="AF18" s="5"/>
      <c r="AG18" s="5"/>
      <c r="AH18" s="5"/>
      <c r="AI18" s="5"/>
      <c r="AJ18" s="5"/>
      <c r="AK18" s="5"/>
      <c r="AL18" s="5"/>
      <c r="AM18" s="5"/>
      <c r="AN18" s="5"/>
      <c r="AO18" s="5"/>
      <c r="AP18" s="5"/>
      <c r="AQ18" s="5"/>
      <c r="AR18" s="5"/>
    </row>
    <row r="19" spans="1:44" ht="15.6">
      <c r="A19" s="13" t="s">
        <v>24</v>
      </c>
      <c r="B19" s="5">
        <v>60</v>
      </c>
      <c r="C19" s="78">
        <v>29273</v>
      </c>
      <c r="D19" s="78">
        <v>647</v>
      </c>
      <c r="E19" s="16">
        <f t="shared" si="0"/>
        <v>71635</v>
      </c>
      <c r="F19" s="16">
        <f t="shared" si="1"/>
        <v>2960</v>
      </c>
      <c r="G19" s="16">
        <f t="shared" si="2"/>
        <v>71635</v>
      </c>
      <c r="H19" s="16">
        <f t="shared" si="4"/>
        <v>5533.9173900592341</v>
      </c>
      <c r="I19" s="10">
        <f t="shared" si="5"/>
        <v>7.7251586376202053E-2</v>
      </c>
      <c r="J19" s="10">
        <f t="shared" si="6"/>
        <v>4.1320583513645565E-2</v>
      </c>
      <c r="K19" s="10">
        <f>IF(G$3&gt;B19-1,I19,NA())</f>
        <v>7.7251586376202053E-2</v>
      </c>
      <c r="L19" s="10">
        <f ca="1">IF(G$3&gt;59,M$26+M$27*J19,NA())</f>
        <v>7.9132010894694224E-2</v>
      </c>
      <c r="M19" s="8">
        <f ca="1">IF(G$3&gt;59,K19-L19,NA())</f>
        <v>-1.8804245184921714E-3</v>
      </c>
      <c r="T19" s="5"/>
      <c r="U19" s="5"/>
      <c r="V19" s="5"/>
      <c r="W19" s="5"/>
      <c r="X19" s="5"/>
      <c r="Y19" s="5"/>
      <c r="Z19" s="5"/>
      <c r="AA19" s="5"/>
      <c r="AB19" s="5"/>
      <c r="AC19" s="5"/>
      <c r="AD19" s="5"/>
      <c r="AE19" s="5"/>
      <c r="AF19" s="5"/>
      <c r="AG19" s="5"/>
      <c r="AH19" s="5"/>
      <c r="AI19" s="5"/>
      <c r="AJ19" s="5"/>
      <c r="AK19" s="5"/>
      <c r="AL19" s="5"/>
      <c r="AM19" s="5"/>
      <c r="AN19" s="5"/>
      <c r="AO19" s="5"/>
      <c r="AP19" s="5"/>
      <c r="AQ19" s="5"/>
      <c r="AR19" s="5"/>
    </row>
    <row r="20" spans="1:44" ht="15.6">
      <c r="A20" s="15" t="str">
        <f>IF(D20="","", IF(D21="", "65+", "   65-69"))</f>
        <v xml:space="preserve">   65-69</v>
      </c>
      <c r="B20" s="5">
        <f>IF(D21="","",65)</f>
        <v>65</v>
      </c>
      <c r="C20" s="78">
        <v>14964</v>
      </c>
      <c r="D20" s="78">
        <v>449</v>
      </c>
      <c r="E20" s="16">
        <f>IF(D20="",,E21+C20)</f>
        <v>42362</v>
      </c>
      <c r="F20" s="16">
        <f>IF(D20="",,F21+D20)</f>
        <v>2313</v>
      </c>
      <c r="G20" s="16">
        <f t="shared" si="2"/>
        <v>42362</v>
      </c>
      <c r="H20" s="16">
        <f>IF(D21="","",E$3*(C19*C20)^0.5/5)</f>
        <v>4185.8866300940354</v>
      </c>
      <c r="I20" s="10">
        <f>IF(H20="",NA(),H20/G20)</f>
        <v>9.8812299468722803E-2</v>
      </c>
      <c r="J20" s="10">
        <f t="shared" si="6"/>
        <v>5.4600821490958878E-2</v>
      </c>
      <c r="K20" s="10">
        <f>IF(G$3&gt;B20-1,I20,NA())</f>
        <v>9.8812299468722803E-2</v>
      </c>
      <c r="L20" s="10">
        <f ca="1">IF(G$3&gt;64,M$26+M$27*J20,NA())</f>
        <v>9.5329947344438615E-2</v>
      </c>
      <c r="M20" s="8">
        <f ca="1">IF(G$3&gt;45,K20-L20,NA())</f>
        <v>3.4823521242841882E-3</v>
      </c>
      <c r="T20" s="5"/>
      <c r="U20" s="5"/>
      <c r="V20" s="5"/>
      <c r="W20" s="5"/>
      <c r="X20" s="5"/>
      <c r="Y20" s="5"/>
      <c r="Z20" s="5"/>
      <c r="AA20" s="5"/>
      <c r="AB20" s="5"/>
      <c r="AC20" s="5"/>
      <c r="AD20" s="5"/>
      <c r="AE20" s="5"/>
      <c r="AF20" s="5"/>
      <c r="AG20" s="5"/>
      <c r="AH20" s="5"/>
      <c r="AI20" s="5"/>
      <c r="AJ20" s="5"/>
      <c r="AK20" s="5"/>
      <c r="AL20" s="5"/>
      <c r="AM20" s="5"/>
      <c r="AN20" s="5"/>
      <c r="AO20" s="5"/>
      <c r="AP20" s="5"/>
      <c r="AQ20" s="5"/>
      <c r="AR20" s="5"/>
    </row>
    <row r="21" spans="1:44" ht="15.6">
      <c r="A21" s="15" t="str">
        <f>IF(D21="","", IF(D22=""," 70+", "   70-74"))</f>
        <v xml:space="preserve">   70-74</v>
      </c>
      <c r="B21" s="5">
        <f>IF(D22="","",70)</f>
        <v>70</v>
      </c>
      <c r="C21" s="78">
        <v>11205</v>
      </c>
      <c r="D21" s="78">
        <v>504</v>
      </c>
      <c r="E21" s="16">
        <f>IF(D21="",,E22+C21)</f>
        <v>27398</v>
      </c>
      <c r="F21" s="16">
        <f>IF(D21="",,F22+D21)</f>
        <v>1864</v>
      </c>
      <c r="G21" s="16">
        <f t="shared" si="2"/>
        <v>27398</v>
      </c>
      <c r="H21" s="16">
        <f>IF(D22="","",E$3*(C20*C21)^0.5/5)</f>
        <v>2589.7615334234929</v>
      </c>
      <c r="I21" s="10">
        <f>IF(H21="",NA(),H21/G21)</f>
        <v>9.4523743828874116E-2</v>
      </c>
      <c r="J21" s="10">
        <f t="shared" si="6"/>
        <v>6.803416307759691E-2</v>
      </c>
      <c r="K21" s="10" t="e">
        <f>IF(G$3&gt;B21-1,I21,NA())</f>
        <v>#N/A</v>
      </c>
      <c r="L21" s="10" t="e">
        <f>IF(G$3&gt;69,M$26+M$27*J21,NA())</f>
        <v>#N/A</v>
      </c>
      <c r="M21" s="8" t="e">
        <f>IF(G$3&gt;69,K21-L21,NA())</f>
        <v>#N/A</v>
      </c>
      <c r="T21" s="5"/>
      <c r="U21" s="5"/>
      <c r="V21" s="5"/>
      <c r="W21" s="5"/>
      <c r="X21" s="5"/>
      <c r="Y21" s="5"/>
      <c r="Z21" s="5"/>
      <c r="AA21" s="5"/>
      <c r="AB21" s="5"/>
      <c r="AC21" s="5"/>
      <c r="AD21" s="5"/>
      <c r="AE21" s="5"/>
      <c r="AF21" s="5"/>
      <c r="AG21" s="5"/>
      <c r="AH21" s="5"/>
      <c r="AI21" s="5"/>
      <c r="AJ21" s="5"/>
      <c r="AK21" s="5"/>
      <c r="AL21" s="5"/>
      <c r="AM21" s="5"/>
      <c r="AN21" s="5"/>
      <c r="AO21" s="5"/>
      <c r="AP21" s="5"/>
      <c r="AQ21" s="5"/>
      <c r="AR21" s="5"/>
    </row>
    <row r="22" spans="1:44" ht="15.6">
      <c r="A22" s="15" t="str">
        <f>IF(D22="","", IF(D23=""," 75+", "   75-79"))</f>
        <v xml:space="preserve"> 75+</v>
      </c>
      <c r="B22" s="5" t="str">
        <f>IF(D23="","",75)</f>
        <v/>
      </c>
      <c r="C22" s="78">
        <v>16193</v>
      </c>
      <c r="D22" s="78">
        <v>1360</v>
      </c>
      <c r="E22" s="16">
        <f>IF(D22="",,E23+C22)</f>
        <v>16193</v>
      </c>
      <c r="F22" s="16">
        <f>IF(D22="",,F23+D22)</f>
        <v>1360</v>
      </c>
      <c r="G22" s="16">
        <f t="shared" si="2"/>
        <v>16193</v>
      </c>
      <c r="H22" s="16" t="str">
        <f>IF(D23="","",E$3*(C21*C22)^0.5/5)</f>
        <v/>
      </c>
      <c r="I22" s="10" t="e">
        <f t="shared" ref="I22:I23" si="9">IF(H22="",NA(),H22/G22)</f>
        <v>#N/A</v>
      </c>
      <c r="J22" s="10" t="e">
        <f t="shared" si="6"/>
        <v>#N/A</v>
      </c>
      <c r="K22" s="10" t="e">
        <f>IF(G$3&gt;B22-1,I22,NA())</f>
        <v>#VALUE!</v>
      </c>
      <c r="L22" s="10" t="e">
        <f>IF(G$3&gt;74,M$26+M$27*J22,NA())</f>
        <v>#N/A</v>
      </c>
      <c r="M22" s="8" t="e">
        <f>IF(G$3&gt;74,K22-L22,NA())</f>
        <v>#N/A</v>
      </c>
      <c r="T22" s="5"/>
      <c r="U22" s="5"/>
      <c r="V22" s="5"/>
      <c r="W22" s="5"/>
      <c r="X22" s="5"/>
      <c r="Y22" s="5"/>
      <c r="Z22" s="5"/>
      <c r="AA22" s="5"/>
      <c r="AB22" s="5"/>
      <c r="AC22" s="5"/>
      <c r="AD22" s="5"/>
      <c r="AE22" s="5"/>
      <c r="AF22" s="5"/>
      <c r="AG22" s="5"/>
      <c r="AH22" s="5"/>
      <c r="AI22" s="5"/>
      <c r="AJ22" s="5"/>
      <c r="AK22" s="5"/>
      <c r="AL22" s="5"/>
      <c r="AM22" s="5"/>
      <c r="AN22" s="5"/>
      <c r="AO22" s="5"/>
      <c r="AP22" s="5"/>
      <c r="AQ22" s="5"/>
      <c r="AR22" s="5"/>
    </row>
    <row r="23" spans="1:44" ht="15.6">
      <c r="A23" s="15" t="str">
        <f>IF(D23="","", IF(D24=""," 80+", "   80-84"))</f>
        <v/>
      </c>
      <c r="B23" s="5" t="str">
        <f>IF(D24="","",80)</f>
        <v/>
      </c>
      <c r="C23" s="78"/>
      <c r="D23" s="78"/>
      <c r="E23" s="16">
        <f>IF(D23="",,E24+C23)</f>
        <v>0</v>
      </c>
      <c r="F23" s="16">
        <f>IF(D23="",,F24+D23)</f>
        <v>0</v>
      </c>
      <c r="G23" s="16">
        <f t="shared" si="2"/>
        <v>0</v>
      </c>
      <c r="H23" s="16" t="str">
        <f>IF(D24="","",E$3*(C22*C23)^0.5/5)</f>
        <v/>
      </c>
      <c r="I23" s="10" t="e">
        <f t="shared" si="9"/>
        <v>#N/A</v>
      </c>
      <c r="J23" s="10" t="e">
        <f t="shared" si="6"/>
        <v>#N/A</v>
      </c>
      <c r="K23" s="10" t="e">
        <f>IF(G$3&gt;B23-1,I23,NA())</f>
        <v>#VALUE!</v>
      </c>
      <c r="L23" s="10" t="e">
        <f>IF(G$3&gt;79,M$26+M$27*J23,NA())</f>
        <v>#N/A</v>
      </c>
      <c r="M23" s="8" t="e">
        <f>IF(G$3&gt;79,K23-L23,NA())</f>
        <v>#N/A</v>
      </c>
      <c r="T23" s="5"/>
      <c r="U23" s="5"/>
      <c r="V23" s="5"/>
      <c r="W23" s="5"/>
      <c r="X23" s="5"/>
      <c r="Y23" s="5"/>
      <c r="Z23" s="5"/>
      <c r="AA23" s="5"/>
      <c r="AB23" s="5"/>
      <c r="AC23" s="5"/>
      <c r="AD23" s="5"/>
      <c r="AE23" s="5"/>
      <c r="AF23" s="5"/>
      <c r="AG23" s="5"/>
      <c r="AH23" s="5"/>
      <c r="AI23" s="5"/>
      <c r="AJ23" s="5"/>
      <c r="AK23" s="5"/>
      <c r="AL23" s="5"/>
      <c r="AM23" s="5"/>
      <c r="AN23" s="5"/>
      <c r="AO23" s="5"/>
      <c r="AP23" s="5"/>
      <c r="AQ23" s="5"/>
      <c r="AR23" s="5"/>
    </row>
    <row r="24" spans="1:44" ht="15.6">
      <c r="A24" s="15" t="str">
        <f>IF(D24="","", "85+")</f>
        <v/>
      </c>
      <c r="B24" s="5"/>
      <c r="C24" s="78"/>
      <c r="D24" s="78"/>
      <c r="E24" s="16">
        <f>IF(D24="",,E25+C24)</f>
        <v>0</v>
      </c>
      <c r="F24" s="16">
        <f>IF(D24="",,F25+D24)</f>
        <v>0</v>
      </c>
      <c r="G24" s="16">
        <f t="shared" si="2"/>
        <v>0</v>
      </c>
      <c r="H24" s="16"/>
      <c r="I24" s="14"/>
      <c r="J24" s="5"/>
      <c r="K24" s="5"/>
      <c r="L24" s="5"/>
      <c r="M24" s="6"/>
      <c r="T24" s="5"/>
      <c r="U24" s="5"/>
      <c r="V24" s="5"/>
      <c r="W24" s="5"/>
      <c r="X24" s="5"/>
      <c r="Y24" s="5"/>
      <c r="Z24" s="5"/>
      <c r="AA24" s="5"/>
      <c r="AB24" s="5"/>
      <c r="AC24" s="5"/>
      <c r="AD24" s="5"/>
      <c r="AE24" s="5"/>
      <c r="AF24" s="5"/>
      <c r="AG24" s="5"/>
      <c r="AH24" s="5"/>
      <c r="AI24" s="5"/>
      <c r="AJ24" s="5"/>
      <c r="AK24" s="5"/>
      <c r="AL24" s="5"/>
      <c r="AM24" s="5"/>
      <c r="AN24" s="5"/>
      <c r="AO24" s="5"/>
      <c r="AP24" s="5"/>
      <c r="AQ24" s="5"/>
      <c r="AR24" s="5"/>
    </row>
    <row r="25" spans="1:44" ht="15.6">
      <c r="A25" s="13"/>
      <c r="B25" s="5"/>
      <c r="C25" s="16"/>
      <c r="D25" s="16"/>
      <c r="E25" s="16"/>
      <c r="F25" s="16"/>
      <c r="G25" s="16"/>
      <c r="H25" s="5"/>
      <c r="I25" s="5"/>
      <c r="J25" s="5"/>
      <c r="K25" s="5"/>
      <c r="L25" s="5"/>
      <c r="M25" s="6"/>
      <c r="T25" s="5"/>
      <c r="U25" s="5"/>
      <c r="V25" s="5"/>
      <c r="W25" s="5"/>
      <c r="X25" s="5"/>
      <c r="Y25" s="5"/>
      <c r="Z25" s="5"/>
      <c r="AA25" s="5"/>
      <c r="AB25" s="5"/>
      <c r="AC25" s="5"/>
      <c r="AD25" s="5"/>
      <c r="AE25" s="5"/>
      <c r="AF25" s="5"/>
      <c r="AG25" s="5"/>
      <c r="AH25" s="5"/>
      <c r="AI25" s="5"/>
      <c r="AJ25" s="5"/>
      <c r="AK25" s="5"/>
      <c r="AL25" s="5"/>
      <c r="AM25" s="5"/>
      <c r="AN25" s="5"/>
      <c r="AO25" s="5"/>
      <c r="AP25" s="5"/>
      <c r="AQ25" s="5"/>
      <c r="AR25" s="5"/>
    </row>
    <row r="26" spans="1:44">
      <c r="A26" s="13" t="s">
        <v>25</v>
      </c>
      <c r="B26" s="5"/>
      <c r="C26" s="16">
        <f>SUM(C7:C24)</f>
        <v>1274253</v>
      </c>
      <c r="D26" s="16">
        <f>SUM(D7:D24)</f>
        <v>13652</v>
      </c>
      <c r="E26" s="16"/>
      <c r="F26" s="5" t="s">
        <v>79</v>
      </c>
      <c r="I26" s="5"/>
      <c r="J26" s="5"/>
      <c r="K26" s="32">
        <f ca="1">(1/M27)*EXP(K27*(E2-C2))</f>
        <v>0.81610522924546747</v>
      </c>
      <c r="L26" s="5" t="s">
        <v>26</v>
      </c>
      <c r="M26" s="5">
        <f ca="1">AVERAGE(INDIRECT(ADDRESS(ROW(K7)+G2/5,K6)):INDIRECT(ADDRESS(ROW(K7)+G3/5,K6)))-AVERAGE(INDIRECT(ADDRESS(ROW(J7)+G2/5,J6)):INDIRECT(ADDRESS(ROW(J7)+G3/5,J6)))*M27</f>
        <v>2.8733201252595309E-2</v>
      </c>
      <c r="T26" s="5"/>
      <c r="U26" s="5"/>
      <c r="V26" s="5"/>
      <c r="W26" s="5"/>
      <c r="X26" s="5"/>
      <c r="Y26" s="5"/>
      <c r="Z26" s="5"/>
      <c r="AA26" s="5"/>
      <c r="AB26" s="5"/>
      <c r="AC26" s="5"/>
      <c r="AD26" s="5"/>
      <c r="AE26" s="5"/>
      <c r="AF26" s="5"/>
      <c r="AG26" s="5"/>
      <c r="AH26" s="5"/>
      <c r="AI26" s="5"/>
      <c r="AJ26" s="5"/>
      <c r="AK26" s="5"/>
      <c r="AL26" s="5"/>
      <c r="AM26" s="5"/>
      <c r="AN26" s="5"/>
      <c r="AO26" s="5"/>
      <c r="AP26" s="5"/>
      <c r="AQ26" s="5"/>
      <c r="AR26" s="5"/>
    </row>
    <row r="27" spans="1:44" ht="15.6">
      <c r="A27" s="5"/>
      <c r="B27" s="5"/>
      <c r="C27" s="5"/>
      <c r="D27" s="5"/>
      <c r="E27" s="5"/>
      <c r="F27" s="5" t="s">
        <v>62</v>
      </c>
      <c r="I27" s="5"/>
      <c r="J27" s="5"/>
      <c r="K27" s="33">
        <f ca="1">M26</f>
        <v>2.8733201252595309E-2</v>
      </c>
      <c r="L27" s="5" t="s">
        <v>27</v>
      </c>
      <c r="M27" s="5">
        <f ca="1">STDEV(INDIRECT(ADDRESS(ROW(K7)+G2/5,K6)):INDIRECT(ADDRESS(ROW(K7)+G3/5,K6)))/STDEV(INDIRECT(ADDRESS(ROW(J7)+G2/5,J6)):INDIRECT(ADDRESS(ROW(J7)+G3/5,J6)))</f>
        <v>1.2197022732134311</v>
      </c>
      <c r="N27" s="6"/>
      <c r="O27" s="6"/>
      <c r="P27" s="6"/>
      <c r="Q27" s="6"/>
      <c r="R27" s="6"/>
      <c r="T27" s="5"/>
      <c r="U27" s="5"/>
      <c r="V27" s="5"/>
      <c r="W27" s="5"/>
      <c r="X27" s="5"/>
      <c r="Y27" s="5"/>
      <c r="Z27" s="5"/>
      <c r="AA27" s="5"/>
      <c r="AB27" s="5"/>
      <c r="AC27" s="5"/>
      <c r="AD27" s="5"/>
      <c r="AE27" s="5"/>
      <c r="AF27" s="5"/>
      <c r="AG27" s="5"/>
      <c r="AH27" s="5"/>
      <c r="AI27" s="5"/>
      <c r="AJ27" s="5"/>
      <c r="AK27" s="5"/>
      <c r="AL27" s="5"/>
      <c r="AM27" s="5"/>
      <c r="AN27" s="5"/>
      <c r="AO27" s="5"/>
      <c r="AP27" s="5"/>
      <c r="AQ27" s="5"/>
      <c r="AR27" s="5"/>
    </row>
    <row r="28" spans="1:44" ht="15.6">
      <c r="A28" s="5"/>
      <c r="B28" s="5"/>
      <c r="C28" s="5"/>
      <c r="D28" s="14"/>
      <c r="E28" s="5"/>
      <c r="F28" s="5"/>
      <c r="G28" s="5"/>
      <c r="H28" s="5"/>
      <c r="I28" s="10"/>
      <c r="J28" s="10"/>
      <c r="N28" s="9"/>
      <c r="O28" s="6"/>
      <c r="P28" s="6"/>
      <c r="Q28" s="6"/>
      <c r="R28" s="6"/>
      <c r="T28" s="5"/>
      <c r="U28" s="5"/>
      <c r="V28" s="5"/>
      <c r="W28" s="5"/>
      <c r="X28" s="5"/>
      <c r="Y28" s="5"/>
      <c r="Z28" s="5"/>
      <c r="AA28" s="5"/>
      <c r="AB28" s="5"/>
      <c r="AC28" s="5"/>
      <c r="AD28" s="5"/>
      <c r="AE28" s="5"/>
      <c r="AF28" s="5"/>
      <c r="AG28" s="5"/>
      <c r="AH28" s="5"/>
      <c r="AI28" s="5"/>
      <c r="AJ28" s="5"/>
      <c r="AK28" s="5"/>
      <c r="AL28" s="5"/>
      <c r="AM28" s="5"/>
      <c r="AN28" s="5"/>
      <c r="AO28" s="5"/>
      <c r="AP28" s="5"/>
      <c r="AQ28" s="5"/>
      <c r="AR28" s="5"/>
    </row>
    <row r="29" spans="1:44" ht="15.6">
      <c r="A29" s="5"/>
      <c r="B29" s="5"/>
      <c r="C29" s="14"/>
      <c r="D29" s="14"/>
      <c r="E29" s="5"/>
      <c r="F29" s="5"/>
      <c r="G29" s="5"/>
      <c r="H29" s="5"/>
      <c r="I29" s="5"/>
      <c r="J29" s="10"/>
      <c r="K29" s="5"/>
      <c r="L29" s="5"/>
      <c r="M29" s="6"/>
      <c r="N29" s="9"/>
      <c r="O29" s="6"/>
      <c r="P29" s="6"/>
      <c r="Q29" s="6"/>
      <c r="R29" s="6"/>
      <c r="T29" s="5"/>
      <c r="U29" s="5"/>
      <c r="V29" s="5"/>
      <c r="W29" s="5"/>
      <c r="X29" s="5"/>
      <c r="Y29" s="5"/>
      <c r="Z29" s="5"/>
      <c r="AA29" s="5"/>
      <c r="AB29" s="5"/>
      <c r="AC29" s="5"/>
      <c r="AD29" s="5"/>
      <c r="AE29" s="5"/>
      <c r="AF29" s="5"/>
      <c r="AG29" s="5"/>
      <c r="AH29" s="5"/>
      <c r="AI29" s="5"/>
      <c r="AJ29" s="5"/>
      <c r="AK29" s="5"/>
      <c r="AL29" s="5"/>
      <c r="AM29" s="5"/>
      <c r="AN29" s="5"/>
      <c r="AO29" s="5"/>
      <c r="AP29" s="5"/>
      <c r="AQ29" s="5"/>
      <c r="AR29" s="5"/>
    </row>
    <row r="30" spans="1:44" ht="15.6">
      <c r="A30" s="5"/>
      <c r="B30" s="5"/>
      <c r="C30" s="10"/>
      <c r="D30" s="10"/>
      <c r="E30" s="5"/>
      <c r="F30" s="5"/>
      <c r="G30" s="5"/>
      <c r="J30" s="4"/>
      <c r="M30" s="6"/>
      <c r="N30" s="6"/>
      <c r="O30" s="6"/>
      <c r="P30" s="6"/>
      <c r="Q30" s="6"/>
      <c r="R30" s="6"/>
      <c r="T30" s="5"/>
      <c r="U30" s="5"/>
      <c r="V30" s="5"/>
      <c r="W30" s="5"/>
      <c r="X30" s="5"/>
      <c r="Y30" s="5"/>
      <c r="Z30" s="5"/>
      <c r="AA30" s="5"/>
      <c r="AB30" s="5"/>
      <c r="AC30" s="5"/>
      <c r="AD30" s="5"/>
      <c r="AE30" s="5"/>
      <c r="AF30" s="5"/>
      <c r="AG30" s="5"/>
      <c r="AH30" s="5"/>
      <c r="AI30" s="5"/>
      <c r="AJ30" s="5"/>
      <c r="AK30" s="5"/>
      <c r="AL30" s="5"/>
      <c r="AM30" s="5"/>
      <c r="AN30" s="5"/>
      <c r="AO30" s="5"/>
      <c r="AP30" s="5"/>
      <c r="AQ30" s="5"/>
      <c r="AR30" s="5"/>
    </row>
    <row r="31" spans="1:44" ht="15.6">
      <c r="A31" s="5"/>
      <c r="B31" s="5"/>
      <c r="C31" s="10"/>
      <c r="D31" s="10"/>
      <c r="E31" s="5"/>
      <c r="F31" s="5"/>
      <c r="G31" s="5"/>
      <c r="M31" s="6"/>
      <c r="N31" s="6"/>
      <c r="O31" s="6"/>
      <c r="P31" s="6"/>
      <c r="Q31" s="6"/>
      <c r="R31" s="6"/>
      <c r="T31" s="5"/>
      <c r="U31" s="5"/>
      <c r="V31" s="5"/>
      <c r="W31" s="5"/>
      <c r="X31" s="5"/>
      <c r="Y31" s="5"/>
      <c r="Z31" s="5"/>
      <c r="AA31" s="5"/>
      <c r="AB31" s="5"/>
      <c r="AC31" s="5"/>
      <c r="AD31" s="5"/>
      <c r="AE31" s="5"/>
      <c r="AF31" s="5"/>
      <c r="AG31" s="5"/>
      <c r="AH31" s="5"/>
      <c r="AI31" s="5"/>
      <c r="AJ31" s="5"/>
      <c r="AK31" s="5"/>
      <c r="AL31" s="5"/>
      <c r="AM31" s="5"/>
      <c r="AN31" s="5"/>
      <c r="AO31" s="5"/>
      <c r="AP31" s="5"/>
      <c r="AQ31" s="5"/>
      <c r="AR31" s="5"/>
    </row>
    <row r="32" spans="1:44" ht="15.6">
      <c r="A32" s="5"/>
      <c r="B32" s="5"/>
      <c r="C32" s="10"/>
      <c r="D32" s="10"/>
      <c r="E32" s="5"/>
      <c r="F32" s="5"/>
      <c r="G32" s="5"/>
      <c r="H32" s="10"/>
      <c r="M32" s="6"/>
      <c r="N32" s="6"/>
      <c r="O32" s="6"/>
      <c r="P32" s="6"/>
      <c r="Q32" s="6"/>
      <c r="R32" s="6"/>
      <c r="T32" s="5"/>
      <c r="U32" s="5"/>
      <c r="V32" s="5"/>
      <c r="W32" s="5"/>
      <c r="X32" s="5"/>
      <c r="Y32" s="5"/>
      <c r="Z32" s="5"/>
      <c r="AA32" s="5"/>
      <c r="AB32" s="5"/>
      <c r="AC32" s="5"/>
      <c r="AD32" s="5"/>
      <c r="AE32" s="5"/>
      <c r="AF32" s="5"/>
      <c r="AG32" s="5"/>
      <c r="AH32" s="5"/>
      <c r="AI32" s="5"/>
      <c r="AJ32" s="5"/>
      <c r="AK32" s="5"/>
      <c r="AL32" s="5"/>
      <c r="AM32" s="5"/>
      <c r="AN32" s="5"/>
      <c r="AO32" s="5"/>
      <c r="AP32" s="5"/>
      <c r="AQ32" s="5"/>
      <c r="AR32" s="5"/>
    </row>
    <row r="33" spans="1:44">
      <c r="A33" s="5"/>
      <c r="B33" s="10"/>
      <c r="C33" s="10"/>
      <c r="D33" s="10"/>
      <c r="E33" s="5"/>
      <c r="F33" s="5"/>
      <c r="G33" s="5"/>
      <c r="H33" s="5"/>
      <c r="T33" s="5"/>
      <c r="U33" s="5"/>
      <c r="V33" s="5"/>
      <c r="W33" s="5"/>
      <c r="X33" s="5"/>
      <c r="Y33" s="5"/>
      <c r="Z33" s="5"/>
      <c r="AA33" s="5"/>
      <c r="AB33" s="5"/>
      <c r="AC33" s="5"/>
      <c r="AD33" s="5"/>
      <c r="AE33" s="5"/>
      <c r="AF33" s="5"/>
      <c r="AG33" s="5"/>
      <c r="AH33" s="5"/>
      <c r="AI33" s="5"/>
      <c r="AJ33" s="5"/>
      <c r="AK33" s="5"/>
      <c r="AL33" s="5"/>
      <c r="AM33" s="5"/>
      <c r="AN33" s="5"/>
      <c r="AO33" s="5"/>
      <c r="AP33" s="5"/>
      <c r="AQ33" s="5"/>
      <c r="AR33" s="5"/>
    </row>
    <row r="34" spans="1:44">
      <c r="A34" s="5"/>
      <c r="B34" s="5"/>
      <c r="C34" s="5"/>
      <c r="D34" s="5"/>
      <c r="E34" s="5"/>
      <c r="F34" s="5"/>
      <c r="G34" s="5"/>
      <c r="H34" s="5"/>
      <c r="T34" s="5"/>
      <c r="U34" s="5"/>
      <c r="V34" s="5"/>
      <c r="W34" s="5"/>
      <c r="X34" s="5"/>
      <c r="Y34" s="5"/>
      <c r="Z34" s="5"/>
      <c r="AA34" s="5"/>
      <c r="AB34" s="5"/>
      <c r="AC34" s="5"/>
      <c r="AD34" s="5"/>
      <c r="AE34" s="5"/>
      <c r="AF34" s="5"/>
      <c r="AG34" s="5"/>
      <c r="AH34" s="5"/>
      <c r="AI34" s="5"/>
      <c r="AJ34" s="5"/>
      <c r="AK34" s="5"/>
    </row>
    <row r="35" spans="1:44">
      <c r="A35" s="5"/>
      <c r="B35" s="5"/>
      <c r="C35" s="5"/>
      <c r="D35" s="5"/>
      <c r="E35" s="5"/>
      <c r="F35" s="5"/>
      <c r="G35" s="5"/>
      <c r="H35" s="5"/>
      <c r="T35" s="5"/>
      <c r="U35" s="5"/>
      <c r="V35" s="5"/>
      <c r="W35" s="5"/>
      <c r="X35" s="5"/>
      <c r="Y35" s="5"/>
      <c r="Z35" s="5"/>
      <c r="AA35" s="5"/>
      <c r="AB35" s="5"/>
      <c r="AC35" s="5"/>
      <c r="AD35" s="5"/>
      <c r="AE35" s="5"/>
      <c r="AF35" s="5"/>
      <c r="AG35" s="5"/>
      <c r="AH35" s="5"/>
      <c r="AI35" s="5"/>
      <c r="AJ35" s="5"/>
      <c r="AK35" s="5"/>
    </row>
    <row r="36" spans="1:44" ht="13.8">
      <c r="AB36" s="2"/>
      <c r="AC36" s="2"/>
      <c r="AD36" s="1"/>
      <c r="AE36" s="1"/>
      <c r="AF36" s="3"/>
      <c r="AG36" s="1"/>
      <c r="AH36" s="1"/>
      <c r="AI36" s="1"/>
      <c r="AJ36" s="1"/>
      <c r="AK36" s="1"/>
    </row>
    <row r="37" spans="1:44" ht="13.8">
      <c r="AB37" s="2"/>
      <c r="AC37" s="2"/>
      <c r="AD37" s="1"/>
      <c r="AE37" s="1"/>
      <c r="AF37" s="3"/>
      <c r="AG37" s="1"/>
      <c r="AH37" s="1"/>
      <c r="AI37" s="1"/>
      <c r="AJ37" s="1"/>
      <c r="AK37" s="1"/>
    </row>
  </sheetData>
  <protectedRanges>
    <protectedRange sqref="G2:G3" name="Range2"/>
    <protectedRange sqref="C7:D24" name="Range1"/>
  </protectedRanges>
  <pageMargins left="0.75" right="0.75" top="1" bottom="1" header="0.5" footer="0.5"/>
  <pageSetup paperSize="9"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
  <sheetViews>
    <sheetView tabSelected="1" workbookViewId="0">
      <selection activeCell="K27" sqref="K27"/>
    </sheetView>
  </sheetViews>
  <sheetFormatPr defaultRowHeight="13.2"/>
  <cols>
    <col min="1" max="1" width="19.5546875" bestFit="1" customWidth="1"/>
    <col min="3" max="3" width="10.109375" bestFit="1" customWidth="1"/>
    <col min="4" max="4" width="21.33203125" bestFit="1" customWidth="1"/>
    <col min="5" max="5" width="12" bestFit="1" customWidth="1"/>
    <col min="6" max="6" width="43.6640625" bestFit="1" customWidth="1"/>
    <col min="7" max="7" width="5.33203125" customWidth="1"/>
  </cols>
  <sheetData>
    <row r="1" spans="1:11">
      <c r="A1" s="106" t="s">
        <v>28</v>
      </c>
      <c r="B1" s="106"/>
      <c r="C1" s="106" t="s">
        <v>37</v>
      </c>
      <c r="D1" s="106"/>
      <c r="E1" s="106"/>
      <c r="F1" s="106" t="s">
        <v>30</v>
      </c>
      <c r="G1" s="106"/>
      <c r="H1" s="106"/>
      <c r="I1" s="106"/>
      <c r="J1" s="106"/>
    </row>
    <row r="2" spans="1:11">
      <c r="A2" s="106" t="s">
        <v>29</v>
      </c>
      <c r="B2" s="106"/>
      <c r="C2" s="106">
        <v>1961.5</v>
      </c>
      <c r="D2" s="106" t="s">
        <v>54</v>
      </c>
      <c r="E2" s="106">
        <v>1961.3397260273973</v>
      </c>
      <c r="F2" s="106" t="s">
        <v>56</v>
      </c>
      <c r="G2" s="106">
        <v>5</v>
      </c>
      <c r="H2" s="106"/>
      <c r="I2" s="106"/>
      <c r="J2" s="106"/>
    </row>
    <row r="3" spans="1:11">
      <c r="A3" s="106" t="s">
        <v>32</v>
      </c>
      <c r="B3" s="106"/>
      <c r="C3" s="106" t="s">
        <v>31</v>
      </c>
      <c r="D3" s="106" t="s">
        <v>61</v>
      </c>
      <c r="E3" s="106">
        <v>1</v>
      </c>
      <c r="F3" s="106" t="s">
        <v>55</v>
      </c>
      <c r="G3" s="106">
        <v>69</v>
      </c>
      <c r="H3" s="106" t="s">
        <v>103</v>
      </c>
      <c r="I3" s="106"/>
      <c r="J3" s="106"/>
    </row>
    <row r="5" spans="1:11" ht="13.8">
      <c r="A5" s="79" t="s">
        <v>3</v>
      </c>
      <c r="B5" s="79" t="s">
        <v>2</v>
      </c>
      <c r="H5" t="s">
        <v>8</v>
      </c>
      <c r="I5" t="s">
        <v>77</v>
      </c>
      <c r="J5" t="s">
        <v>57</v>
      </c>
      <c r="K5" t="s">
        <v>78</v>
      </c>
    </row>
    <row r="6" spans="1:11">
      <c r="A6" s="12">
        <v>1</v>
      </c>
      <c r="B6" s="12">
        <v>2</v>
      </c>
      <c r="H6">
        <v>8</v>
      </c>
      <c r="I6">
        <v>9</v>
      </c>
      <c r="J6">
        <v>10</v>
      </c>
      <c r="K6">
        <v>11</v>
      </c>
    </row>
    <row r="7" spans="1:11">
      <c r="A7" s="107" t="s">
        <v>12</v>
      </c>
      <c r="B7" s="12">
        <v>0</v>
      </c>
      <c r="J7">
        <v>0</v>
      </c>
    </row>
    <row r="8" spans="1:11">
      <c r="A8" s="107" t="s">
        <v>13</v>
      </c>
      <c r="B8" s="12">
        <v>5</v>
      </c>
      <c r="H8">
        <v>40361.866570316095</v>
      </c>
      <c r="I8">
        <v>3.8071342330352753E-2</v>
      </c>
      <c r="J8">
        <v>6.3603367026233678E-3</v>
      </c>
      <c r="K8">
        <v>3.8071342330352753E-2</v>
      </c>
    </row>
    <row r="9" spans="1:11">
      <c r="A9" s="107" t="s">
        <v>14</v>
      </c>
      <c r="B9" s="12">
        <v>10</v>
      </c>
      <c r="H9">
        <v>33732.602563099106</v>
      </c>
      <c r="I9">
        <v>3.877622632062247E-2</v>
      </c>
      <c r="J9">
        <v>7.0499925281344474E-3</v>
      </c>
      <c r="K9">
        <v>3.877622632062247E-2</v>
      </c>
    </row>
    <row r="10" spans="1:11">
      <c r="A10" s="107" t="s">
        <v>15</v>
      </c>
      <c r="B10" s="12">
        <v>15</v>
      </c>
      <c r="H10">
        <v>27348.295391120813</v>
      </c>
      <c r="I10">
        <v>3.7963074813602615E-2</v>
      </c>
      <c r="J10">
        <v>8.216359981787694E-3</v>
      </c>
      <c r="K10">
        <v>3.7963074813602615E-2</v>
      </c>
    </row>
    <row r="11" spans="1:11">
      <c r="A11" s="107" t="s">
        <v>16</v>
      </c>
      <c r="B11" s="12">
        <v>20</v>
      </c>
      <c r="H11">
        <v>23825.020125909654</v>
      </c>
      <c r="I11">
        <v>4.0018375895116927E-2</v>
      </c>
      <c r="J11">
        <v>9.4952229941278436E-3</v>
      </c>
      <c r="K11">
        <v>4.0018375895116927E-2</v>
      </c>
    </row>
    <row r="12" spans="1:11">
      <c r="A12" s="107" t="s">
        <v>17</v>
      </c>
      <c r="B12" s="12">
        <v>25</v>
      </c>
      <c r="H12">
        <v>20398.856703256679</v>
      </c>
      <c r="I12">
        <v>4.2333399818322834E-2</v>
      </c>
      <c r="J12">
        <v>1.112766725743055E-2</v>
      </c>
      <c r="K12">
        <v>4.2333399818322834E-2</v>
      </c>
    </row>
    <row r="13" spans="1:11">
      <c r="A13" s="107" t="s">
        <v>18</v>
      </c>
      <c r="B13" s="12">
        <v>30</v>
      </c>
      <c r="H13">
        <v>16879.838142588927</v>
      </c>
      <c r="I13">
        <v>4.3259562793828088E-2</v>
      </c>
      <c r="J13">
        <v>1.3047188742154645E-2</v>
      </c>
      <c r="K13">
        <v>4.3259562793828088E-2</v>
      </c>
    </row>
    <row r="14" spans="1:11">
      <c r="A14" s="107" t="s">
        <v>19</v>
      </c>
      <c r="B14" s="12">
        <v>35</v>
      </c>
      <c r="H14">
        <v>15057.130531412684</v>
      </c>
      <c r="I14">
        <v>4.8184667991771471E-2</v>
      </c>
      <c r="J14">
        <v>1.528378689741686E-2</v>
      </c>
      <c r="K14">
        <v>4.8184667991771471E-2</v>
      </c>
    </row>
    <row r="15" spans="1:11">
      <c r="A15" s="107" t="s">
        <v>20</v>
      </c>
      <c r="B15" s="12">
        <v>40</v>
      </c>
      <c r="H15">
        <v>12888.943652603963</v>
      </c>
      <c r="I15">
        <v>5.3804366703696746E-2</v>
      </c>
      <c r="J15">
        <v>1.848032994923858E-2</v>
      </c>
      <c r="K15">
        <v>5.3804366703696746E-2</v>
      </c>
    </row>
    <row r="16" spans="1:11">
      <c r="A16" s="107" t="s">
        <v>21</v>
      </c>
      <c r="B16" s="12">
        <v>45</v>
      </c>
      <c r="H16">
        <v>10258.664844900628</v>
      </c>
      <c r="I16">
        <v>5.6178001450635937E-2</v>
      </c>
      <c r="J16">
        <v>2.2391982914407756E-2</v>
      </c>
      <c r="K16">
        <v>5.6178001450635937E-2</v>
      </c>
    </row>
    <row r="17" spans="1:11">
      <c r="A17" s="107" t="s">
        <v>22</v>
      </c>
      <c r="B17" s="12">
        <v>50</v>
      </c>
      <c r="H17">
        <v>8448.0821018737734</v>
      </c>
      <c r="I17">
        <v>6.1933815489709124E-2</v>
      </c>
      <c r="J17">
        <v>2.7359700890729814E-2</v>
      </c>
      <c r="K17">
        <v>6.1933815489709124E-2</v>
      </c>
    </row>
    <row r="18" spans="1:11">
      <c r="A18" s="107" t="s">
        <v>23</v>
      </c>
      <c r="B18" s="12">
        <v>55</v>
      </c>
      <c r="H18">
        <v>6355.9825802152727</v>
      </c>
      <c r="I18">
        <v>6.4996907425326697E-2</v>
      </c>
      <c r="J18">
        <v>3.42267535203346E-2</v>
      </c>
      <c r="K18">
        <v>6.4996907425326697E-2</v>
      </c>
    </row>
    <row r="19" spans="1:11">
      <c r="A19" s="107" t="s">
        <v>24</v>
      </c>
      <c r="B19" s="12">
        <v>60</v>
      </c>
      <c r="H19">
        <v>5533.9173900592341</v>
      </c>
      <c r="I19">
        <v>7.7251586376202053E-2</v>
      </c>
      <c r="J19">
        <v>4.1320583513645565E-2</v>
      </c>
      <c r="K19">
        <v>7.7251586376202053E-2</v>
      </c>
    </row>
    <row r="20" spans="1:11">
      <c r="A20" s="15" t="s">
        <v>105</v>
      </c>
      <c r="B20" s="12">
        <v>65</v>
      </c>
      <c r="H20">
        <v>4185.8866300940354</v>
      </c>
      <c r="I20">
        <v>9.8812299468722803E-2</v>
      </c>
      <c r="J20">
        <v>5.4600821490958878E-2</v>
      </c>
      <c r="K20">
        <v>9.8812299468722803E-2</v>
      </c>
    </row>
    <row r="21" spans="1:11">
      <c r="A21" s="15" t="s">
        <v>106</v>
      </c>
      <c r="B21" s="12">
        <v>70</v>
      </c>
      <c r="H21">
        <v>2589.7615334234929</v>
      </c>
      <c r="I21">
        <v>9.4523743828874116E-2</v>
      </c>
      <c r="J21">
        <v>6.803416307759691E-2</v>
      </c>
      <c r="K21" t="e">
        <v>#N/A</v>
      </c>
    </row>
    <row r="22" spans="1:11">
      <c r="A22" s="15" t="s">
        <v>107</v>
      </c>
      <c r="B22" s="12" t="s">
        <v>104</v>
      </c>
      <c r="H22" t="s">
        <v>104</v>
      </c>
      <c r="I22" t="e">
        <v>#N/A</v>
      </c>
      <c r="J22" t="e">
        <v>#N/A</v>
      </c>
      <c r="K22" t="e">
        <v>#VALUE!</v>
      </c>
    </row>
    <row r="23" spans="1:11">
      <c r="A23" s="15" t="s">
        <v>104</v>
      </c>
      <c r="B23" s="5" t="s">
        <v>104</v>
      </c>
      <c r="H23" t="s">
        <v>104</v>
      </c>
      <c r="I23" t="e">
        <v>#N/A</v>
      </c>
      <c r="J23" t="e">
        <v>#N/A</v>
      </c>
      <c r="K23" t="e">
        <v>#VALUE!</v>
      </c>
    </row>
    <row r="26" spans="1:11">
      <c r="E26" s="16"/>
      <c r="F26" s="5" t="s">
        <v>79</v>
      </c>
      <c r="H26" s="32">
        <f ca="1">(1/J27)*EXP(H27*(E2-C2))</f>
        <v>0.81610522924546747</v>
      </c>
      <c r="I26" s="5" t="s">
        <v>26</v>
      </c>
      <c r="J26" s="5">
        <f ca="1">AVERAGE(INDIRECT(ADDRESS(ROW(K7)+G2/5,K6)):INDIRECT(ADDRESS(ROW(K7)+G3/5,K6)))-AVERAGE(INDIRECT(ADDRESS(ROW(J7)+G2/5,J6)):INDIRECT(ADDRESS(ROW(J7)+G3/5,J6)))*J27</f>
        <v>2.8733201252595309E-2</v>
      </c>
      <c r="K26" s="5" t="s">
        <v>108</v>
      </c>
    </row>
    <row r="27" spans="1:11">
      <c r="E27" s="5"/>
      <c r="F27" s="5" t="s">
        <v>62</v>
      </c>
      <c r="H27" s="33">
        <f ca="1">J26</f>
        <v>2.8733201252595309E-2</v>
      </c>
      <c r="I27" s="5" t="s">
        <v>27</v>
      </c>
      <c r="J27" s="5">
        <f ca="1">STDEV(INDIRECT(ADDRESS(ROW(K7)+G2/5,K6)):INDIRECT(ADDRESS(ROW(K7)+G3/5,K6)))/STDEV(INDIRECT(ADDRESS(ROW(J7)+G2/5,J6)):INDIRECT(ADDRESS(ROW(J7)+G3/5,J6)))</f>
        <v>1.2197022732134311</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37"/>
  <sheetViews>
    <sheetView showGridLines="0" zoomScaleNormal="100" workbookViewId="0">
      <selection sqref="A1:Q5"/>
    </sheetView>
  </sheetViews>
  <sheetFormatPr defaultRowHeight="13.2"/>
  <cols>
    <col min="1" max="1" width="9.33203125" bestFit="1" customWidth="1"/>
    <col min="2" max="2" width="11.88671875" customWidth="1"/>
    <col min="3" max="3" width="10.33203125" customWidth="1"/>
    <col min="4" max="4" width="11.44140625" customWidth="1"/>
    <col min="5" max="5" width="9.33203125" bestFit="1" customWidth="1"/>
    <col min="6" max="6" width="6.6640625" customWidth="1"/>
    <col min="7" max="8" width="9.33203125" bestFit="1" customWidth="1"/>
    <col min="9" max="9" width="9.6640625" bestFit="1" customWidth="1"/>
    <col min="10" max="10" width="9.88671875" customWidth="1"/>
    <col min="11" max="11" width="9.6640625" bestFit="1" customWidth="1"/>
    <col min="12" max="12" width="9.109375" customWidth="1"/>
    <col min="13" max="13" width="9.6640625" bestFit="1" customWidth="1"/>
    <col min="14" max="14" width="10.109375" customWidth="1"/>
    <col min="15" max="15" width="9.33203125" bestFit="1" customWidth="1"/>
    <col min="16" max="16" width="10.33203125" customWidth="1"/>
    <col min="17" max="17" width="5.88671875" customWidth="1"/>
  </cols>
  <sheetData>
    <row r="1" spans="1:30" ht="13.8">
      <c r="A1" s="67" t="s">
        <v>28</v>
      </c>
      <c r="B1" s="67" t="str">
        <f>Introduction!D9</f>
        <v>El Salvador</v>
      </c>
      <c r="C1" s="67"/>
      <c r="D1" s="67"/>
      <c r="E1" s="67"/>
      <c r="F1" s="67"/>
      <c r="G1" s="67"/>
      <c r="H1" s="67"/>
      <c r="I1" s="84"/>
      <c r="J1" s="67"/>
      <c r="K1" s="67"/>
      <c r="L1" s="67"/>
      <c r="M1" s="67"/>
      <c r="N1" s="73" t="s">
        <v>33</v>
      </c>
      <c r="O1" s="85"/>
      <c r="P1" s="85"/>
      <c r="Q1" s="67"/>
    </row>
    <row r="2" spans="1:30" ht="13.8">
      <c r="A2" s="67"/>
      <c r="B2" s="67"/>
      <c r="C2" s="67"/>
      <c r="D2" s="67"/>
      <c r="E2" s="67"/>
      <c r="F2" s="67"/>
      <c r="G2" s="67"/>
      <c r="H2" s="67"/>
      <c r="I2" s="84"/>
      <c r="J2" s="67" t="s">
        <v>0</v>
      </c>
      <c r="K2" s="72">
        <v>45</v>
      </c>
      <c r="L2" s="86" t="s">
        <v>4</v>
      </c>
      <c r="M2" s="87">
        <f ca="1">INTERCEPT(INDIRECT(ADDRESS(ROW(I7)+K2/5,I6)):INDIRECT(ADDRESS(ROW(I7)+K3/5,I6)),INDIRECT(ADDRESS(ROW(K7)+K2/5,K6)):INDIRECT(ADDRESS(ROW(K7)+K3/5,K6)))</f>
        <v>6.7361045103791817E-2</v>
      </c>
      <c r="N2" s="85" t="s">
        <v>5</v>
      </c>
      <c r="O2" s="88">
        <f ca="1">1-M19/M10</f>
        <v>0.28368115374463199</v>
      </c>
      <c r="P2" s="88"/>
      <c r="Q2" s="67"/>
    </row>
    <row r="3" spans="1:30" ht="13.8">
      <c r="A3" s="67" t="s">
        <v>32</v>
      </c>
      <c r="B3" s="67" t="str">
        <f>Introduction!D10</f>
        <v>Females</v>
      </c>
      <c r="C3" s="67"/>
      <c r="D3" s="67"/>
      <c r="E3" s="67"/>
      <c r="F3" s="67"/>
      <c r="G3" s="67"/>
      <c r="H3" s="67"/>
      <c r="I3" s="84"/>
      <c r="J3" s="67" t="s">
        <v>1</v>
      </c>
      <c r="K3" s="72">
        <v>75</v>
      </c>
      <c r="L3" s="86" t="s">
        <v>10</v>
      </c>
      <c r="M3" s="87">
        <f ca="1">SLOPE(INDIRECT(ADDRESS(ROW(I7)+K2/5,I6)):INDIRECT(ADDRESS(ROW(I7)+K3/5,I6)),INDIRECT(ADDRESS(ROW(K7)+K2/5,K6)):INDIRECT(ADDRESS(ROW(K7)+K3/5,K6)))</f>
        <v>0.99207276039847947</v>
      </c>
      <c r="N3" s="85" t="s">
        <v>11</v>
      </c>
      <c r="O3" s="88">
        <f ca="1">1-M17/M10</f>
        <v>0.17291866358366914</v>
      </c>
      <c r="P3" s="88"/>
      <c r="Q3" s="67"/>
    </row>
    <row r="4" spans="1:30" ht="13.8">
      <c r="A4" s="67"/>
      <c r="B4" s="67"/>
      <c r="C4" s="67"/>
      <c r="D4" s="67"/>
      <c r="E4" s="67"/>
      <c r="F4" s="67"/>
      <c r="G4" s="67"/>
      <c r="H4" s="67"/>
      <c r="I4" s="84"/>
      <c r="J4" s="67"/>
      <c r="K4" s="67"/>
      <c r="L4" s="67"/>
      <c r="M4" s="67"/>
      <c r="N4" s="67"/>
      <c r="O4" s="67"/>
      <c r="P4" s="67"/>
      <c r="Q4" s="67"/>
    </row>
    <row r="5" spans="1:30" ht="42.75" customHeight="1">
      <c r="A5" s="79" t="s">
        <v>3</v>
      </c>
      <c r="B5" s="89" t="s">
        <v>91</v>
      </c>
      <c r="C5" s="89" t="s">
        <v>92</v>
      </c>
      <c r="D5" s="90" t="s">
        <v>59</v>
      </c>
      <c r="E5" s="90" t="s">
        <v>93</v>
      </c>
      <c r="F5" s="81" t="s">
        <v>2</v>
      </c>
      <c r="G5" s="91" t="s">
        <v>94</v>
      </c>
      <c r="H5" s="91" t="s">
        <v>95</v>
      </c>
      <c r="I5" s="92" t="s">
        <v>96</v>
      </c>
      <c r="J5" s="90" t="str">
        <f>'Model data'!B23&amp;" Cdn. ls(x)"</f>
        <v>Princeton West Cdn. ls(x)</v>
      </c>
      <c r="K5" s="93" t="s">
        <v>97</v>
      </c>
      <c r="L5" s="93" t="s">
        <v>98</v>
      </c>
      <c r="M5" s="94" t="s">
        <v>99</v>
      </c>
      <c r="N5" s="95" t="s">
        <v>100</v>
      </c>
      <c r="O5" s="96" t="s">
        <v>101</v>
      </c>
      <c r="P5" s="97" t="s">
        <v>102</v>
      </c>
      <c r="Q5" s="91" t="s">
        <v>3</v>
      </c>
    </row>
    <row r="6" spans="1:30">
      <c r="A6" s="12">
        <f>COLUMN()</f>
        <v>1</v>
      </c>
      <c r="B6" s="12">
        <f>COLUMN()</f>
        <v>2</v>
      </c>
      <c r="C6" s="12">
        <f>COLUMN()</f>
        <v>3</v>
      </c>
      <c r="D6" s="12">
        <f>COLUMN()</f>
        <v>4</v>
      </c>
      <c r="E6" s="12">
        <f>COLUMN()</f>
        <v>5</v>
      </c>
      <c r="F6" s="12">
        <f>COLUMN()</f>
        <v>6</v>
      </c>
      <c r="G6" s="12">
        <f>COLUMN()</f>
        <v>7</v>
      </c>
      <c r="H6" s="12">
        <f>COLUMN()</f>
        <v>8</v>
      </c>
      <c r="I6" s="12">
        <f>COLUMN()</f>
        <v>9</v>
      </c>
      <c r="J6" s="12">
        <f>COLUMN()</f>
        <v>10</v>
      </c>
      <c r="K6" s="12">
        <f>COLUMN()</f>
        <v>11</v>
      </c>
      <c r="L6" s="12">
        <f>COLUMN()</f>
        <v>12</v>
      </c>
      <c r="M6" s="12">
        <f>COLUMN()</f>
        <v>13</v>
      </c>
      <c r="N6" s="12">
        <f>COLUMN()</f>
        <v>14</v>
      </c>
      <c r="O6" s="12">
        <f>COLUMN()</f>
        <v>15</v>
      </c>
      <c r="P6" s="12">
        <f>COLUMN()</f>
        <v>16</v>
      </c>
      <c r="Q6" s="12">
        <f>COLUMN()</f>
        <v>17</v>
      </c>
    </row>
    <row r="7" spans="1:30">
      <c r="A7" s="13" t="s">
        <v>12</v>
      </c>
      <c r="B7" s="17"/>
      <c r="C7" s="17"/>
      <c r="D7" s="17"/>
      <c r="E7" s="36"/>
      <c r="F7" s="5">
        <v>0</v>
      </c>
      <c r="G7" s="5"/>
      <c r="H7" s="5"/>
      <c r="I7" s="5"/>
      <c r="J7" s="5"/>
      <c r="K7" s="5"/>
      <c r="L7" s="5"/>
      <c r="M7" s="5"/>
      <c r="N7" s="5"/>
      <c r="O7" s="5"/>
      <c r="P7" s="5"/>
      <c r="Q7" s="5">
        <v>0</v>
      </c>
      <c r="AC7" s="5"/>
      <c r="AD7" s="5"/>
    </row>
    <row r="8" spans="1:30">
      <c r="A8" s="13" t="s">
        <v>13</v>
      </c>
      <c r="B8" s="17">
        <f ca="1">Method!C8*EXP(-Method!K$27*(Method!E$2-Method!C$2))</f>
        <v>191112.08294715564</v>
      </c>
      <c r="C8" s="17">
        <f ca="1">Method!D8/Method!K$26</f>
        <v>747.45263005357447</v>
      </c>
      <c r="D8" s="17">
        <f ca="1">Method!E$3*B8</f>
        <v>191112.08294715564</v>
      </c>
      <c r="E8" s="36">
        <f t="shared" ref="E8:E20" ca="1" si="0">C8/D8</f>
        <v>3.911069454777762E-3</v>
      </c>
      <c r="F8" s="5">
        <v>5</v>
      </c>
      <c r="G8" s="31">
        <f ca="1">5*E8/(1+2.5*E8)</f>
        <v>1.9365992915505618E-2</v>
      </c>
      <c r="H8" s="5">
        <v>1</v>
      </c>
      <c r="I8" s="5"/>
      <c r="J8" s="19">
        <f>'Model data'!D26</f>
        <v>1</v>
      </c>
      <c r="K8" s="5"/>
      <c r="L8" s="5"/>
      <c r="M8" s="34">
        <v>1</v>
      </c>
      <c r="N8" s="37">
        <f t="shared" ref="N8:N24" ca="1" si="1">N9+2.5*(M9+M8)</f>
        <v>60.293915584282324</v>
      </c>
      <c r="O8" s="35">
        <f t="shared" ref="O8:O24" ca="1" si="2">N8/M8</f>
        <v>60.293915584282324</v>
      </c>
      <c r="P8" s="36">
        <f t="shared" ref="P8:P24" ca="1" si="3">(M8-M9)/(2.5*(M8+M9))</f>
        <v>2.6142274597191172E-3</v>
      </c>
      <c r="Q8" s="5">
        <v>5</v>
      </c>
    </row>
    <row r="9" spans="1:30">
      <c r="A9" s="13" t="s">
        <v>14</v>
      </c>
      <c r="B9" s="17">
        <f ca="1">Method!C9*EXP(-Method!K$27*(Method!E$2-Method!C$2))</f>
        <v>150228.23816852801</v>
      </c>
      <c r="C9" s="17">
        <f ca="1">Method!D9/Method!K$26</f>
        <v>262.2210866089589</v>
      </c>
      <c r="D9" s="17">
        <f ca="1">Method!E$3*B9</f>
        <v>150228.23816852801</v>
      </c>
      <c r="E9" s="36">
        <f t="shared" ca="1" si="0"/>
        <v>1.7454846692323972E-3</v>
      </c>
      <c r="F9" s="5">
        <v>10</v>
      </c>
      <c r="G9" s="31">
        <f t="shared" ref="G9:G21" ca="1" si="4">5*E9/(1+2.5*E9)</f>
        <v>8.6895048524042555E-3</v>
      </c>
      <c r="H9" s="31">
        <f t="shared" ref="H9:H25" ca="1" si="5">H8*(1-G8)</f>
        <v>0.98063400708449433</v>
      </c>
      <c r="I9" s="18">
        <f t="shared" ref="I9:I25" ca="1" si="6">IF(H9=0,NA(),0.5*LN((1-H9)/H9))</f>
        <v>-1.9623403615609143</v>
      </c>
      <c r="J9" s="19">
        <f>'Model data'!D27</f>
        <v>0.98902604435533126</v>
      </c>
      <c r="K9" s="18">
        <f>0.5*LN((J$8-J9)/J9)</f>
        <v>-2.2505979342666698</v>
      </c>
      <c r="L9" s="18">
        <f t="shared" ref="L9:L27" ca="1" si="7">M$2+M$3*K9</f>
        <v>-2.1653958600912588</v>
      </c>
      <c r="M9" s="38">
        <f ca="1">(1/(1+EXP(2*L9)))</f>
        <v>0.98701373532568137</v>
      </c>
      <c r="N9" s="37">
        <f t="shared" ca="1" si="1"/>
        <v>55.326381245968122</v>
      </c>
      <c r="O9" s="35">
        <f t="shared" ca="1" si="2"/>
        <v>56.054317448492526</v>
      </c>
      <c r="P9" s="36">
        <f t="shared" ca="1" si="3"/>
        <v>2.0287217370105457E-3</v>
      </c>
      <c r="Q9" s="5">
        <v>10</v>
      </c>
    </row>
    <row r="10" spans="1:30">
      <c r="A10" s="13" t="s">
        <v>15</v>
      </c>
      <c r="B10" s="17">
        <f ca="1">Method!C10*EXP(-Method!K$27*(Method!E$2-Method!C$2))</f>
        <v>125617.16019067222</v>
      </c>
      <c r="C10" s="17">
        <f ca="1">Method!D10/Method!K$26</f>
        <v>325.93835999057512</v>
      </c>
      <c r="D10" s="17">
        <f ca="1">Method!E$3*B10</f>
        <v>125617.16019067222</v>
      </c>
      <c r="E10" s="36">
        <f t="shared" ca="1" si="0"/>
        <v>2.5946961346350978E-3</v>
      </c>
      <c r="F10" s="5">
        <v>15</v>
      </c>
      <c r="G10" s="31">
        <f ca="1">5*E10/(1+2.5*E10)</f>
        <v>1.2889867450053955E-2</v>
      </c>
      <c r="H10" s="31">
        <f t="shared" ca="1" si="5"/>
        <v>0.97211278312150096</v>
      </c>
      <c r="I10" s="18">
        <f t="shared" ca="1" si="6"/>
        <v>-1.7756517111563459</v>
      </c>
      <c r="J10" s="19">
        <f>'Model data'!D28</f>
        <v>0.98048951137818818</v>
      </c>
      <c r="K10" s="18">
        <f t="shared" ref="K10:K27" si="8">0.5*LN((J$8-J10)/J10)</f>
        <v>-1.9585498746774208</v>
      </c>
      <c r="L10" s="18">
        <f t="shared" ca="1" si="7"/>
        <v>-1.875662935445533</v>
      </c>
      <c r="M10" s="38">
        <f t="shared" ref="M10:M27" ca="1" si="9">(1/(1+EXP(2*L10)))</f>
        <v>0.97705237629177111</v>
      </c>
      <c r="N10" s="37">
        <f t="shared" ca="1" si="1"/>
        <v>50.41621596692449</v>
      </c>
      <c r="O10" s="35">
        <f t="shared" ca="1" si="2"/>
        <v>51.60032070979684</v>
      </c>
      <c r="P10" s="36">
        <f t="shared" ca="1" si="3"/>
        <v>2.9640384003831338E-3</v>
      </c>
      <c r="Q10" s="5">
        <v>15</v>
      </c>
    </row>
    <row r="11" spans="1:30">
      <c r="A11" s="13" t="s">
        <v>16</v>
      </c>
      <c r="B11" s="17">
        <f ca="1">Method!C11*EXP(-Method!K$27*(Method!E$2-Method!C$2))</f>
        <v>114013.84764906742</v>
      </c>
      <c r="C11" s="17">
        <f ca="1">Method!D11/Method!K$26</f>
        <v>356.57166450096753</v>
      </c>
      <c r="D11" s="17">
        <f ca="1">Method!E$3*B11</f>
        <v>114013.84764906742</v>
      </c>
      <c r="E11" s="36">
        <f t="shared" ca="1" si="0"/>
        <v>3.1274417261882848E-3</v>
      </c>
      <c r="F11" s="5">
        <v>20</v>
      </c>
      <c r="G11" s="31">
        <f t="shared" ca="1" si="4"/>
        <v>1.5515895979676333E-2</v>
      </c>
      <c r="H11" s="31">
        <f t="shared" ca="1" si="5"/>
        <v>0.9595823782005618</v>
      </c>
      <c r="I11" s="18">
        <f t="shared" ca="1" si="6"/>
        <v>-1.5836161470415042</v>
      </c>
      <c r="J11" s="19">
        <f>'Model data'!D29</f>
        <v>0.96807521267304064</v>
      </c>
      <c r="K11" s="18">
        <f t="shared" si="8"/>
        <v>-1.7059635215249491</v>
      </c>
      <c r="L11" s="18">
        <f t="shared" ca="1" si="7"/>
        <v>-1.6250788948345753</v>
      </c>
      <c r="M11" s="38">
        <f t="shared" ca="1" si="9"/>
        <v>0.96267878219136194</v>
      </c>
      <c r="N11" s="37">
        <f t="shared" ca="1" si="1"/>
        <v>45.566888070716658</v>
      </c>
      <c r="O11" s="35">
        <f t="shared" ca="1" si="2"/>
        <v>47.333429295067646</v>
      </c>
      <c r="P11" s="36">
        <f t="shared" ca="1" si="3"/>
        <v>3.8907726908597173E-3</v>
      </c>
      <c r="Q11" s="5">
        <v>20</v>
      </c>
    </row>
    <row r="12" spans="1:30">
      <c r="A12" s="13" t="s">
        <v>17</v>
      </c>
      <c r="B12" s="17">
        <f ca="1">Method!C12*EXP(-Method!K$27*(Method!E$2-Method!C$2))</f>
        <v>92086.098484945527</v>
      </c>
      <c r="C12" s="17">
        <f ca="1">Method!D12/Method!K$26</f>
        <v>332.06502089265359</v>
      </c>
      <c r="D12" s="17">
        <f ca="1">Method!E$3*B12</f>
        <v>92086.098484945527</v>
      </c>
      <c r="E12" s="36">
        <f t="shared" ca="1" si="0"/>
        <v>3.6060276888258049E-3</v>
      </c>
      <c r="F12" s="5">
        <v>25</v>
      </c>
      <c r="G12" s="31">
        <f t="shared" ca="1" si="4"/>
        <v>1.7869047741804284E-2</v>
      </c>
      <c r="H12" s="31">
        <f t="shared" ca="1" si="5"/>
        <v>0.94469359783647144</v>
      </c>
      <c r="I12" s="18">
        <f t="shared" ca="1" si="6"/>
        <v>-1.4189859832524163</v>
      </c>
      <c r="J12" s="19">
        <f>'Model data'!D30</f>
        <v>0.95192172280111764</v>
      </c>
      <c r="K12" s="18">
        <f t="shared" si="8"/>
        <v>-1.4928261749237073</v>
      </c>
      <c r="L12" s="18">
        <f t="shared" ca="1" si="7"/>
        <v>-1.4136311390478737</v>
      </c>
      <c r="M12" s="38">
        <f t="shared" ca="1" si="9"/>
        <v>0.94413137002412673</v>
      </c>
      <c r="N12" s="37">
        <f t="shared" ca="1" si="1"/>
        <v>40.799862690177939</v>
      </c>
      <c r="O12" s="35">
        <f t="shared" ca="1" si="2"/>
        <v>43.21417970587644</v>
      </c>
      <c r="P12" s="36">
        <f t="shared" ca="1" si="3"/>
        <v>4.438340674855581E-3</v>
      </c>
      <c r="Q12" s="5">
        <v>25</v>
      </c>
    </row>
    <row r="13" spans="1:30">
      <c r="A13" s="13" t="s">
        <v>18</v>
      </c>
      <c r="B13" s="17">
        <f ca="1">Method!C13*EXP(-Method!K$27*(Method!E$2-Method!C$2))</f>
        <v>78069.698781008716</v>
      </c>
      <c r="C13" s="17">
        <f ca="1">Method!D13/Method!K$26</f>
        <v>385.97963683094423</v>
      </c>
      <c r="D13" s="17">
        <f ca="1">Method!E$3*B13</f>
        <v>78069.698781008716</v>
      </c>
      <c r="E13" s="36">
        <f t="shared" ca="1" si="0"/>
        <v>4.9440390171562685E-3</v>
      </c>
      <c r="F13" s="5">
        <v>30</v>
      </c>
      <c r="G13" s="31">
        <f t="shared" ca="1" si="4"/>
        <v>2.4418381508496803E-2</v>
      </c>
      <c r="H13" s="31">
        <f t="shared" ca="1" si="5"/>
        <v>0.9278128228353546</v>
      </c>
      <c r="I13" s="18">
        <f t="shared" ca="1" si="6"/>
        <v>-1.2767837921916034</v>
      </c>
      <c r="J13" s="19">
        <f>'Model data'!D31</f>
        <v>0.93372012793563808</v>
      </c>
      <c r="K13" s="18">
        <f t="shared" si="8"/>
        <v>-1.3226452410536844</v>
      </c>
      <c r="L13" s="18">
        <f t="shared" ca="1" si="7"/>
        <v>-1.2447992702162491</v>
      </c>
      <c r="M13" s="38">
        <f t="shared" ca="1" si="9"/>
        <v>0.92340941445980984</v>
      </c>
      <c r="N13" s="37">
        <f t="shared" ca="1" si="1"/>
        <v>36.1310107289681</v>
      </c>
      <c r="O13" s="35">
        <f t="shared" ca="1" si="2"/>
        <v>39.127834482935796</v>
      </c>
      <c r="P13" s="36">
        <f t="shared" ca="1" si="3"/>
        <v>5.0828743878235851E-3</v>
      </c>
      <c r="Q13" s="5">
        <v>30</v>
      </c>
    </row>
    <row r="14" spans="1:30">
      <c r="A14" s="13" t="s">
        <v>19</v>
      </c>
      <c r="B14" s="17">
        <f ca="1">Method!C14*EXP(-Method!K$27*(Method!E$2-Method!C$2))</f>
        <v>73272.658314674263</v>
      </c>
      <c r="C14" s="17">
        <f ca="1">Method!D14/Method!K$26</f>
        <v>427.64093096507787</v>
      </c>
      <c r="D14" s="17">
        <f ca="1">Method!E$3*B14</f>
        <v>73272.658314674263</v>
      </c>
      <c r="E14" s="36">
        <f t="shared" ca="1" si="0"/>
        <v>5.8362961137365275E-3</v>
      </c>
      <c r="F14" s="5">
        <v>35</v>
      </c>
      <c r="G14" s="31">
        <f t="shared" ca="1" si="4"/>
        <v>2.8761824260789593E-2</v>
      </c>
      <c r="H14" s="31">
        <f t="shared" ca="1" si="5"/>
        <v>0.90515713535888553</v>
      </c>
      <c r="I14" s="18">
        <f t="shared" ca="1" si="6"/>
        <v>-1.1279435465645788</v>
      </c>
      <c r="J14" s="19">
        <f>'Model data'!D32</f>
        <v>0.91319033576822883</v>
      </c>
      <c r="K14" s="18">
        <f t="shared" si="8"/>
        <v>-1.1766131886173843</v>
      </c>
      <c r="L14" s="18">
        <f t="shared" ca="1" si="7"/>
        <v>-1.0999248488491133</v>
      </c>
      <c r="M14" s="38">
        <f t="shared" ca="1" si="9"/>
        <v>0.90023601287216659</v>
      </c>
      <c r="N14" s="37">
        <f t="shared" ca="1" si="1"/>
        <v>31.571897160638159</v>
      </c>
      <c r="O14" s="35">
        <f t="shared" ca="1" si="2"/>
        <v>35.070688918464057</v>
      </c>
      <c r="P14" s="36">
        <f t="shared" ca="1" si="3"/>
        <v>5.8828342713270112E-3</v>
      </c>
      <c r="Q14" s="5">
        <v>35</v>
      </c>
    </row>
    <row r="15" spans="1:30">
      <c r="A15" s="13" t="s">
        <v>20</v>
      </c>
      <c r="B15" s="17">
        <f ca="1">Method!C15*EXP(-Method!K$27*(Method!E$2-Method!C$2))</f>
        <v>57204.833138013899</v>
      </c>
      <c r="C15" s="17">
        <f ca="1">Method!D15/Method!K$26</f>
        <v>414.16227698050523</v>
      </c>
      <c r="D15" s="17">
        <f ca="1">Method!E$3*B15</f>
        <v>57204.833138013899</v>
      </c>
      <c r="E15" s="36">
        <f t="shared" ca="1" si="0"/>
        <v>7.2399875021274219E-3</v>
      </c>
      <c r="F15" s="5">
        <v>40</v>
      </c>
      <c r="G15" s="31">
        <f t="shared" ca="1" si="4"/>
        <v>3.5556368354370413E-2</v>
      </c>
      <c r="H15" s="31">
        <f t="shared" ca="1" si="5"/>
        <v>0.87912316490329356</v>
      </c>
      <c r="I15" s="18">
        <f t="shared" ca="1" si="6"/>
        <v>-0.99207643589146832</v>
      </c>
      <c r="J15" s="19">
        <f>'Model data'!D33</f>
        <v>0.88986435481285608</v>
      </c>
      <c r="K15" s="18">
        <f t="shared" si="8"/>
        <v>-1.0446781483104151</v>
      </c>
      <c r="L15" s="18">
        <f t="shared" ca="1" si="7"/>
        <v>-0.9690356892184937</v>
      </c>
      <c r="M15" s="38">
        <f t="shared" ca="1" si="9"/>
        <v>0.87414011119002299</v>
      </c>
      <c r="N15" s="37">
        <f t="shared" ca="1" si="1"/>
        <v>27.135956850482685</v>
      </c>
      <c r="O15" s="35">
        <f t="shared" ca="1" si="2"/>
        <v>31.043029032886693</v>
      </c>
      <c r="P15" s="36">
        <f t="shared" ca="1" si="3"/>
        <v>6.9768478591272151E-3</v>
      </c>
      <c r="Q15" s="5">
        <v>40</v>
      </c>
    </row>
    <row r="16" spans="1:30">
      <c r="A16" s="13" t="s">
        <v>21</v>
      </c>
      <c r="B16" s="17">
        <f ca="1">Method!C16*EXP(-Method!K$27*(Method!E$2-Method!C$2))</f>
        <v>46418.273245441538</v>
      </c>
      <c r="C16" s="17">
        <f ca="1">Method!D16/Method!K$26</f>
        <v>437.44358840840346</v>
      </c>
      <c r="D16" s="17">
        <f ca="1">Method!E$3*B16</f>
        <v>46418.273245441538</v>
      </c>
      <c r="E16" s="36">
        <f t="shared" ca="1" si="0"/>
        <v>9.4239522029476216E-3</v>
      </c>
      <c r="F16" s="5">
        <v>45</v>
      </c>
      <c r="G16" s="31">
        <f t="shared" ca="1" si="4"/>
        <v>4.6035177728323315E-2</v>
      </c>
      <c r="H16" s="31">
        <f t="shared" ca="1" si="5"/>
        <v>0.84786473782313221</v>
      </c>
      <c r="I16" s="18">
        <f t="shared" ca="1" si="6"/>
        <v>-0.85897555395365055</v>
      </c>
      <c r="J16" s="19">
        <f>'Model data'!D34</f>
        <v>0.86281632898106653</v>
      </c>
      <c r="K16" s="18">
        <f t="shared" si="8"/>
        <v>-0.91944057379661248</v>
      </c>
      <c r="L16" s="18">
        <f t="shared" ca="1" si="7"/>
        <v>-0.84479090296497539</v>
      </c>
      <c r="M16" s="38">
        <f t="shared" ca="1" si="9"/>
        <v>0.84416915537071613</v>
      </c>
      <c r="N16" s="37">
        <f t="shared" ca="1" si="1"/>
        <v>22.840183684080838</v>
      </c>
      <c r="O16" s="35">
        <f t="shared" ca="1" si="2"/>
        <v>27.056406336062576</v>
      </c>
      <c r="P16" s="36">
        <f t="shared" ca="1" si="3"/>
        <v>8.7315873818102196E-3</v>
      </c>
      <c r="Q16" s="5">
        <v>45</v>
      </c>
    </row>
    <row r="17" spans="1:17">
      <c r="A17" s="13" t="s">
        <v>22</v>
      </c>
      <c r="B17" s="17">
        <f ca="1">Method!C17*EXP(-Method!K$27*(Method!E$2-Method!C$2))</f>
        <v>38794.243905334282</v>
      </c>
      <c r="C17" s="17">
        <f ca="1">Method!D17/Method!K$26</f>
        <v>471.75288946004292</v>
      </c>
      <c r="D17" s="17">
        <f ca="1">Method!E$3*B17</f>
        <v>38794.243905334282</v>
      </c>
      <c r="E17" s="36">
        <f t="shared" ca="1" si="0"/>
        <v>1.2160383654111533E-2</v>
      </c>
      <c r="F17" s="5">
        <v>50</v>
      </c>
      <c r="G17" s="31">
        <f t="shared" ca="1" si="4"/>
        <v>5.9008017928848931E-2</v>
      </c>
      <c r="H17" s="31">
        <f t="shared" ca="1" si="5"/>
        <v>0.80883313392786604</v>
      </c>
      <c r="I17" s="18">
        <f t="shared" ca="1" si="6"/>
        <v>-0.72122297132210189</v>
      </c>
      <c r="J17" s="19">
        <f>'Model data'!D35</f>
        <v>0.82991285304540474</v>
      </c>
      <c r="K17" s="18">
        <f t="shared" si="8"/>
        <v>-0.7925048820508992</v>
      </c>
      <c r="L17" s="18">
        <f t="shared" ca="1" si="7"/>
        <v>-0.7188614608617151</v>
      </c>
      <c r="M17" s="38">
        <f t="shared" ca="1" si="9"/>
        <v>0.80810178513214981</v>
      </c>
      <c r="N17" s="37">
        <f t="shared" ca="1" si="1"/>
        <v>18.709506332823672</v>
      </c>
      <c r="O17" s="35">
        <f t="shared" ca="1" si="2"/>
        <v>23.15241307103917</v>
      </c>
      <c r="P17" s="36">
        <f t="shared" ca="1" si="3"/>
        <v>1.2023118045023252E-2</v>
      </c>
      <c r="Q17" s="5">
        <v>50</v>
      </c>
    </row>
    <row r="18" spans="1:17">
      <c r="A18" s="13" t="s">
        <v>23</v>
      </c>
      <c r="B18" s="17">
        <f ca="1">Method!C18*EXP(-Method!K$27*(Method!E$2-Method!C$2))</f>
        <v>26274.721750054712</v>
      </c>
      <c r="C18" s="17">
        <f ca="1">Method!D18/Method!K$26</f>
        <v>474.20355382087433</v>
      </c>
      <c r="D18" s="17">
        <f ca="1">Method!E$3*B18</f>
        <v>26274.721750054712</v>
      </c>
      <c r="E18" s="36">
        <f t="shared" ca="1" si="0"/>
        <v>1.8047900119813328E-2</v>
      </c>
      <c r="F18" s="5">
        <v>55</v>
      </c>
      <c r="G18" s="31">
        <f t="shared" ca="1" si="4"/>
        <v>8.6343694656238035E-2</v>
      </c>
      <c r="H18" s="31">
        <f t="shared" ca="1" si="5"/>
        <v>0.76110549385960347</v>
      </c>
      <c r="I18" s="18">
        <f t="shared" ca="1" si="6"/>
        <v>-0.57937495798862637</v>
      </c>
      <c r="J18" s="19">
        <f>'Model data'!D36</f>
        <v>0.78632088701428393</v>
      </c>
      <c r="K18" s="18">
        <f t="shared" si="8"/>
        <v>-0.65144477232807607</v>
      </c>
      <c r="L18" s="18">
        <f t="shared" ca="1" si="7"/>
        <v>-0.57891956842688164</v>
      </c>
      <c r="M18" s="38">
        <f t="shared" ca="1" si="9"/>
        <v>0.76093985304863909</v>
      </c>
      <c r="N18" s="37">
        <f t="shared" ca="1" si="1"/>
        <v>14.786902237371699</v>
      </c>
      <c r="O18" s="35">
        <f t="shared" ca="1" si="2"/>
        <v>19.432419235409036</v>
      </c>
      <c r="P18" s="36">
        <f t="shared" ca="1" si="3"/>
        <v>1.671904414907412E-2</v>
      </c>
      <c r="Q18" s="5">
        <v>55</v>
      </c>
    </row>
    <row r="19" spans="1:17">
      <c r="A19" s="13" t="s">
        <v>24</v>
      </c>
      <c r="B19" s="17">
        <f ca="1">Method!C19*EXP(-Method!K$27*(Method!E$2-Method!C$2))</f>
        <v>29408.118444190244</v>
      </c>
      <c r="C19" s="17">
        <f ca="1">Method!D19/Method!K$26</f>
        <v>792.78992072895528</v>
      </c>
      <c r="D19" s="17">
        <f ca="1">Method!E$3*B19</f>
        <v>29408.118444190244</v>
      </c>
      <c r="E19" s="36">
        <f t="shared" ca="1" si="0"/>
        <v>2.6958199390875202E-2</v>
      </c>
      <c r="F19" s="5">
        <v>60</v>
      </c>
      <c r="G19" s="31">
        <f t="shared" ca="1" si="4"/>
        <v>0.12628027488093882</v>
      </c>
      <c r="H19" s="31">
        <f t="shared" ca="1" si="5"/>
        <v>0.69538883349660463</v>
      </c>
      <c r="I19" s="18">
        <f t="shared" ca="1" si="6"/>
        <v>-0.41271753121076171</v>
      </c>
      <c r="J19" s="19">
        <f>'Model data'!D37</f>
        <v>0.72894882319169485</v>
      </c>
      <c r="K19" s="18">
        <f t="shared" si="8"/>
        <v>-0.49464794039967175</v>
      </c>
      <c r="L19" s="18">
        <f t="shared" ca="1" si="7"/>
        <v>-0.42336570255393308</v>
      </c>
      <c r="M19" s="38">
        <f t="shared" ca="1" si="9"/>
        <v>0.6998810309163872</v>
      </c>
      <c r="N19" s="37">
        <f t="shared" ca="1" si="1"/>
        <v>11.134850027459132</v>
      </c>
      <c r="O19" s="35">
        <f t="shared" ca="1" si="2"/>
        <v>15.909632545519555</v>
      </c>
      <c r="P19" s="36">
        <f t="shared" ca="1" si="3"/>
        <v>2.530123147388421E-2</v>
      </c>
      <c r="Q19" s="5">
        <v>60</v>
      </c>
    </row>
    <row r="20" spans="1:17">
      <c r="A20" s="15" t="str">
        <f ca="1">IF(D20=0,"", IF(D21=0, "65+", "   65-69"))</f>
        <v xml:space="preserve">   65-69</v>
      </c>
      <c r="B20" s="17">
        <f ca="1">Method!C20*EXP(-Method!K$27*(Method!E$2-Method!C$2))</f>
        <v>15033.070898058375</v>
      </c>
      <c r="C20" s="17">
        <f ca="1">Method!D20/Method!K$26</f>
        <v>550.17414900664744</v>
      </c>
      <c r="D20" s="17">
        <f ca="1">Method!E$3*B20</f>
        <v>15033.070898058375</v>
      </c>
      <c r="E20" s="36">
        <f t="shared" ca="1" si="0"/>
        <v>3.6597588924941894E-2</v>
      </c>
      <c r="F20" s="5">
        <v>65</v>
      </c>
      <c r="G20" s="31">
        <f t="shared" ca="1" si="4"/>
        <v>0.16764906565360627</v>
      </c>
      <c r="H20" s="31">
        <f t="shared" ca="1" si="5"/>
        <v>0.60757494045351801</v>
      </c>
      <c r="I20" s="18">
        <f t="shared" ca="1" si="6"/>
        <v>-0.21856496923841146</v>
      </c>
      <c r="J20" s="19">
        <f>'Model data'!D38</f>
        <v>0.64902933015548614</v>
      </c>
      <c r="K20" s="18">
        <f t="shared" si="8"/>
        <v>-0.30738762512432866</v>
      </c>
      <c r="L20" s="18">
        <f t="shared" ca="1" si="7"/>
        <v>-0.23758984466563393</v>
      </c>
      <c r="M20" s="38">
        <f t="shared" ca="1" si="9"/>
        <v>0.61660898439054224</v>
      </c>
      <c r="N20" s="37">
        <f t="shared" ca="1" si="1"/>
        <v>7.8436249891918086</v>
      </c>
      <c r="O20" s="35">
        <f t="shared" ca="1" si="2"/>
        <v>12.720581742649218</v>
      </c>
      <c r="P20" s="36">
        <f t="shared" ca="1" si="3"/>
        <v>3.8325216047624969E-2</v>
      </c>
      <c r="Q20" s="5">
        <v>65</v>
      </c>
    </row>
    <row r="21" spans="1:17">
      <c r="A21" s="15" t="str">
        <f ca="1">IF(D21=0,"", IF(D22=0," 70+", "   70-74"))</f>
        <v xml:space="preserve">   70-74</v>
      </c>
      <c r="B21" s="17">
        <f ca="1">Method!C21*EXP(-Method!K$27*(Method!E$2-Method!C$2))</f>
        <v>11256.720089063358</v>
      </c>
      <c r="C21" s="17">
        <f ca="1">Method!D21/Method!K$26</f>
        <v>617.56741892951072</v>
      </c>
      <c r="D21" s="17">
        <f ca="1">Method!E$3*B21</f>
        <v>11256.720089063358</v>
      </c>
      <c r="E21" s="36">
        <f t="shared" ref="E21:E23" ca="1" si="10">IF(D21&gt;0,C21/D21,NA())</f>
        <v>5.4862110281086049E-2</v>
      </c>
      <c r="F21" s="5">
        <v>70</v>
      </c>
      <c r="G21" s="31">
        <f t="shared" ca="1" si="4"/>
        <v>0.24122523745573585</v>
      </c>
      <c r="H21" s="31">
        <f t="shared" ca="1" si="5"/>
        <v>0.50571556937194029</v>
      </c>
      <c r="I21" s="18">
        <f t="shared" ca="1" si="6"/>
        <v>-1.1431636688776224E-2</v>
      </c>
      <c r="J21" s="19">
        <f>'Model data'!D39</f>
        <v>0.54269834745029266</v>
      </c>
      <c r="K21" s="18">
        <f t="shared" si="8"/>
        <v>-8.560519582249751E-2</v>
      </c>
      <c r="L21" s="18">
        <f t="shared" ca="1" si="7"/>
        <v>-1.7565537820285665E-2</v>
      </c>
      <c r="M21" s="38">
        <f t="shared" ca="1" si="9"/>
        <v>0.50878186571933848</v>
      </c>
      <c r="N21" s="37">
        <f t="shared" ca="1" si="1"/>
        <v>5.0301478639171071</v>
      </c>
      <c r="O21" s="35">
        <f t="shared" ca="1" si="2"/>
        <v>9.8866492751373123</v>
      </c>
      <c r="P21" s="36">
        <f t="shared" ca="1" si="3"/>
        <v>6.0617591825300673E-2</v>
      </c>
      <c r="Q21" s="5">
        <v>70</v>
      </c>
    </row>
    <row r="22" spans="1:17">
      <c r="A22" s="15" t="str">
        <f ca="1">IF(D22=0,"", IF(D23=0," 75+", "   75-79"))</f>
        <v xml:space="preserve"> 75+</v>
      </c>
      <c r="B22" s="17">
        <f ca="1">Method!C22*EXP(-Method!K$27*(Method!E$2-Method!C$2))</f>
        <v>16267.743721749483</v>
      </c>
      <c r="C22" s="17">
        <f ca="1">Method!D22/Method!K$26</f>
        <v>1666.4517653653463</v>
      </c>
      <c r="D22" s="17">
        <f ca="1">Method!E$3*B22</f>
        <v>16267.743721749483</v>
      </c>
      <c r="E22" s="36">
        <f t="shared" ca="1" si="10"/>
        <v>0.10243902251406571</v>
      </c>
      <c r="F22" s="5">
        <v>75</v>
      </c>
      <c r="G22" s="31" t="e">
        <f ca="1">IF(C23=0,NA(),5*E22/(1+2.5*E22))</f>
        <v>#N/A</v>
      </c>
      <c r="H22" s="31">
        <f t="shared" ca="1" si="5"/>
        <v>0.38372421106513133</v>
      </c>
      <c r="I22" s="18">
        <f t="shared" ca="1" si="6"/>
        <v>0.2368852392221899</v>
      </c>
      <c r="J22" s="19">
        <f>'Model data'!D40</f>
        <v>0.40620675480907309</v>
      </c>
      <c r="K22" s="18">
        <f t="shared" si="8"/>
        <v>0.18983445421266135</v>
      </c>
      <c r="L22" s="18">
        <f t="shared" ca="1" si="7"/>
        <v>0.25569063611328552</v>
      </c>
      <c r="M22" s="38">
        <f t="shared" ca="1" si="9"/>
        <v>0.37486977894004336</v>
      </c>
      <c r="N22" s="37">
        <f t="shared" ca="1" si="1"/>
        <v>2.8210187522686523</v>
      </c>
      <c r="O22" s="35">
        <f t="shared" ca="1" si="2"/>
        <v>7.5253298898758274</v>
      </c>
      <c r="P22" s="36">
        <f t="shared" ca="1" si="3"/>
        <v>9.4712355329828926E-2</v>
      </c>
      <c r="Q22" s="5">
        <v>75</v>
      </c>
    </row>
    <row r="23" spans="1:17">
      <c r="A23" s="15" t="str">
        <f ca="1">IF(D23=0,"", IF(D24=0," 80+", "   80-84"))</f>
        <v/>
      </c>
      <c r="B23" s="17">
        <f ca="1">Method!C23*EXP(-Method!K$27*(Method!E$2-Method!C$2))</f>
        <v>0</v>
      </c>
      <c r="C23" s="17">
        <f ca="1">Method!D23/Method!K$26</f>
        <v>0</v>
      </c>
      <c r="D23" s="17">
        <f ca="1">Method!E$3*B23</f>
        <v>0</v>
      </c>
      <c r="E23" s="36" t="e">
        <f t="shared" ca="1" si="10"/>
        <v>#N/A</v>
      </c>
      <c r="F23" s="5">
        <v>80</v>
      </c>
      <c r="G23" s="31" t="e">
        <f ca="1">IF(C24=0,NA(),5*E23/(1+2.5*E23))</f>
        <v>#N/A</v>
      </c>
      <c r="H23" s="31" t="e">
        <f t="shared" ca="1" si="5"/>
        <v>#N/A</v>
      </c>
      <c r="I23" s="18" t="e">
        <f t="shared" ca="1" si="6"/>
        <v>#N/A</v>
      </c>
      <c r="J23" s="19">
        <f>'Model data'!D41</f>
        <v>0.25452962057942813</v>
      </c>
      <c r="K23" s="18">
        <f t="shared" si="8"/>
        <v>0.53729909217546867</v>
      </c>
      <c r="L23" s="18">
        <f t="shared" ca="1" si="7"/>
        <v>0.60040083863790605</v>
      </c>
      <c r="M23" s="38">
        <f t="shared" ca="1" si="9"/>
        <v>0.23133263327198153</v>
      </c>
      <c r="N23" s="37">
        <f ca="1">N24+2.5*(M24+M23)</f>
        <v>1.3055127217385902</v>
      </c>
      <c r="O23" s="35">
        <f t="shared" ca="1" si="2"/>
        <v>5.6434438292312947</v>
      </c>
      <c r="P23" s="36">
        <f t="shared" ca="1" si="3"/>
        <v>0.14519707540108093</v>
      </c>
      <c r="Q23" s="5">
        <v>80</v>
      </c>
    </row>
    <row r="24" spans="1:17">
      <c r="A24" s="15" t="str">
        <f ca="1">IF(D24=0,"", "85+")</f>
        <v/>
      </c>
      <c r="B24" s="17">
        <f ca="1">Method!C24*EXP(-Method!K$27*(Method!E$2-Method!C$2))</f>
        <v>0</v>
      </c>
      <c r="C24" s="17">
        <f ca="1">Method!D24/Method!K$26</f>
        <v>0</v>
      </c>
      <c r="D24" s="17">
        <f ca="1">Method!E$3*B24</f>
        <v>0</v>
      </c>
      <c r="E24" s="36" t="e">
        <f ca="1">IF(D24&gt;0,C24/D24,NA())</f>
        <v>#N/A</v>
      </c>
      <c r="F24" s="5">
        <v>85</v>
      </c>
      <c r="G24" s="31" t="e">
        <f>NA()</f>
        <v>#N/A</v>
      </c>
      <c r="H24" s="31" t="e">
        <f t="shared" ca="1" si="5"/>
        <v>#N/A</v>
      </c>
      <c r="I24" s="18" t="e">
        <f t="shared" ca="1" si="6"/>
        <v>#N/A</v>
      </c>
      <c r="J24" s="19">
        <f>'Model data'!D42</f>
        <v>0.12013000826542107</v>
      </c>
      <c r="K24" s="18">
        <f t="shared" si="8"/>
        <v>0.99559980067780607</v>
      </c>
      <c r="L24" s="18">
        <f t="shared" ca="1" si="7"/>
        <v>1.055068487614399</v>
      </c>
      <c r="M24" s="38">
        <f t="shared" ca="1" si="9"/>
        <v>0.10811545801031135</v>
      </c>
      <c r="N24" s="37">
        <f t="shared" ca="1" si="1"/>
        <v>0.45689249353285816</v>
      </c>
      <c r="O24" s="35">
        <f t="shared" ca="1" si="2"/>
        <v>4.2259682559850296</v>
      </c>
      <c r="P24" s="36">
        <f t="shared" ca="1" si="3"/>
        <v>0.21561893163163082</v>
      </c>
      <c r="Q24" s="5">
        <v>85</v>
      </c>
    </row>
    <row r="25" spans="1:17">
      <c r="A25" s="13"/>
      <c r="B25" s="17"/>
      <c r="C25" s="17"/>
      <c r="D25" s="5"/>
      <c r="E25" s="5"/>
      <c r="F25" s="5"/>
      <c r="G25" s="31"/>
      <c r="H25" s="31" t="e">
        <f t="shared" ca="1" si="5"/>
        <v>#N/A</v>
      </c>
      <c r="I25" s="18" t="e">
        <f t="shared" ca="1" si="6"/>
        <v>#N/A</v>
      </c>
      <c r="J25" s="19">
        <f>J24*EXP((LN(J24/J23))^2/LN(J23/J22))</f>
        <v>3.5964021582872381E-2</v>
      </c>
      <c r="K25" s="18">
        <f t="shared" si="8"/>
        <v>1.6443047888384308</v>
      </c>
      <c r="L25" s="18">
        <f t="shared" ca="1" si="7"/>
        <v>1.6986310359031727</v>
      </c>
      <c r="M25" s="38">
        <f t="shared" ca="1" si="9"/>
        <v>3.2381141369779994E-2</v>
      </c>
      <c r="N25" s="37">
        <f ca="1">N26+2.5*(M26+M25)</f>
        <v>0.10565099508262982</v>
      </c>
      <c r="O25" s="35">
        <f ca="1">N25/M25</f>
        <v>3.2627322760534194</v>
      </c>
      <c r="P25" s="36">
        <f ca="1">1/O25</f>
        <v>0.30649158907073853</v>
      </c>
      <c r="Q25" s="5">
        <v>90</v>
      </c>
    </row>
    <row r="26" spans="1:17">
      <c r="A26" s="13" t="s">
        <v>25</v>
      </c>
      <c r="B26" s="17">
        <f ca="1">SUM(B7:B24)</f>
        <v>1065057.5097279577</v>
      </c>
      <c r="C26" s="17">
        <f ca="1">SUM(C7:C24)</f>
        <v>8262.4148925430381</v>
      </c>
      <c r="D26" s="5"/>
      <c r="E26" s="5"/>
      <c r="F26" s="5"/>
      <c r="G26" s="5"/>
      <c r="H26" s="5"/>
      <c r="I26" s="5"/>
      <c r="J26" s="19">
        <f t="shared" ref="J26:J27" si="11">J25*EXP((LN(J25/J24))^2/LN(J24/J23))</f>
        <v>5.182404130880322E-3</v>
      </c>
      <c r="K26" s="18">
        <f t="shared" si="8"/>
        <v>2.628645166543099</v>
      </c>
      <c r="L26" s="18">
        <f t="shared" ca="1" si="7"/>
        <v>2.6751683115843248</v>
      </c>
      <c r="M26" s="38">
        <f t="shared" ca="1" si="9"/>
        <v>4.7241295995692325E-3</v>
      </c>
      <c r="N26" s="37">
        <f ca="1">N27+2.5*(M27+M26)</f>
        <v>1.2887817659256749E-2</v>
      </c>
      <c r="O26" s="5"/>
      <c r="P26" s="5"/>
      <c r="Q26" s="5"/>
    </row>
    <row r="27" spans="1:17">
      <c r="A27" s="5"/>
      <c r="B27" s="5"/>
      <c r="C27" s="5"/>
      <c r="D27" s="5"/>
      <c r="E27" s="5"/>
      <c r="F27" s="5"/>
      <c r="G27" s="5"/>
      <c r="H27" s="5"/>
      <c r="I27" s="5"/>
      <c r="J27" s="19">
        <f t="shared" si="11"/>
        <v>2.3073714560864389E-4</v>
      </c>
      <c r="K27" s="18">
        <f t="shared" si="8"/>
        <v>4.1870003146841395</v>
      </c>
      <c r="L27" s="18">
        <f t="shared" ca="1" si="7"/>
        <v>4.2211700050817882</v>
      </c>
      <c r="M27" s="38">
        <f t="shared" ca="1" si="9"/>
        <v>2.1549873206673357E-4</v>
      </c>
      <c r="N27" s="37">
        <f ca="1">N28+2.5*(M28+M27)</f>
        <v>5.3874683016683393E-4</v>
      </c>
      <c r="O27" s="5"/>
      <c r="P27" s="5"/>
      <c r="Q27" s="5"/>
    </row>
    <row r="28" spans="1:17">
      <c r="A28" s="5"/>
      <c r="B28" s="5"/>
      <c r="C28" s="5"/>
      <c r="D28" s="5"/>
      <c r="E28" s="5"/>
      <c r="F28" s="5"/>
      <c r="G28" s="5"/>
      <c r="H28" s="5"/>
      <c r="I28" s="5"/>
      <c r="J28" s="5"/>
      <c r="K28" s="5"/>
      <c r="L28" s="5"/>
      <c r="M28" s="5"/>
      <c r="N28" s="5"/>
      <c r="O28" s="5"/>
      <c r="P28" s="5"/>
      <c r="Q28" s="5"/>
    </row>
    <row r="29" spans="1:17">
      <c r="A29" s="5"/>
      <c r="B29" s="5"/>
      <c r="C29" s="5"/>
      <c r="D29" s="5"/>
      <c r="E29" s="5"/>
      <c r="F29" s="5"/>
      <c r="G29" s="5"/>
      <c r="H29" s="5"/>
      <c r="I29" s="5"/>
      <c r="J29" s="5"/>
      <c r="K29" s="5"/>
      <c r="L29" s="5"/>
      <c r="M29" s="5"/>
      <c r="N29" s="5"/>
      <c r="O29" s="5"/>
      <c r="P29" s="5"/>
      <c r="Q29" s="5"/>
    </row>
    <row r="30" spans="1:17">
      <c r="A30" s="5"/>
      <c r="B30" s="5"/>
      <c r="C30" s="5"/>
      <c r="D30" s="5"/>
      <c r="E30" s="5"/>
      <c r="F30" s="5"/>
      <c r="G30" s="5"/>
      <c r="H30" s="5"/>
      <c r="I30" s="5"/>
      <c r="J30" s="5"/>
      <c r="K30" s="5"/>
      <c r="L30" s="5"/>
      <c r="M30" s="5"/>
      <c r="N30" s="5"/>
      <c r="O30" s="5"/>
      <c r="P30" s="5"/>
      <c r="Q30" s="5"/>
    </row>
    <row r="31" spans="1:17">
      <c r="A31" s="5"/>
      <c r="B31" s="5"/>
      <c r="C31" s="5"/>
      <c r="D31" s="5"/>
      <c r="E31" s="5"/>
      <c r="F31" s="5"/>
      <c r="G31" s="5"/>
      <c r="H31" s="5"/>
      <c r="I31" s="5"/>
      <c r="J31" s="5"/>
      <c r="K31" s="5"/>
      <c r="L31" s="5"/>
      <c r="M31" s="5"/>
      <c r="N31" s="5"/>
      <c r="O31" s="5"/>
      <c r="P31" s="5"/>
      <c r="Q31" s="5"/>
    </row>
    <row r="32" spans="1:17">
      <c r="A32" s="5"/>
      <c r="B32" s="5"/>
      <c r="C32" s="5"/>
      <c r="D32" s="5"/>
      <c r="E32" s="5"/>
      <c r="F32" s="5"/>
      <c r="G32" s="5"/>
      <c r="H32" s="5"/>
      <c r="I32" s="5"/>
      <c r="J32" s="5"/>
      <c r="K32" s="5"/>
      <c r="L32" s="5"/>
      <c r="M32" s="5"/>
      <c r="N32" s="5"/>
      <c r="O32" s="5"/>
      <c r="P32" s="5"/>
      <c r="Q32" s="5"/>
    </row>
    <row r="33" spans="1:17">
      <c r="A33" s="5"/>
      <c r="B33" s="5"/>
      <c r="C33" s="5"/>
      <c r="D33" s="5"/>
      <c r="E33" s="5"/>
      <c r="F33" s="5"/>
      <c r="G33" s="5"/>
      <c r="H33" s="5"/>
      <c r="I33" s="5"/>
      <c r="J33" s="5"/>
      <c r="K33" s="5"/>
      <c r="L33" s="5"/>
      <c r="M33" s="5"/>
      <c r="N33" s="5"/>
      <c r="O33" s="5"/>
      <c r="P33" s="5"/>
      <c r="Q33" s="5"/>
    </row>
    <row r="34" spans="1:17">
      <c r="A34" s="5"/>
      <c r="B34" s="5"/>
      <c r="C34" s="5"/>
      <c r="D34" s="5"/>
      <c r="E34" s="5"/>
      <c r="F34" s="5"/>
      <c r="G34" s="5"/>
      <c r="H34" s="5"/>
      <c r="I34" s="5"/>
      <c r="J34" s="5"/>
      <c r="K34" s="5"/>
      <c r="L34" s="5"/>
      <c r="M34" s="5"/>
      <c r="N34" s="5"/>
      <c r="O34" s="5"/>
      <c r="P34" s="5"/>
      <c r="Q34" s="5"/>
    </row>
    <row r="35" spans="1:17">
      <c r="A35" s="5"/>
      <c r="B35" s="5"/>
      <c r="C35" s="5"/>
      <c r="D35" s="5"/>
      <c r="E35" s="5"/>
      <c r="F35" s="5"/>
      <c r="G35" s="5"/>
      <c r="H35" s="5"/>
      <c r="I35" s="5"/>
      <c r="J35" s="5"/>
      <c r="K35" s="5"/>
      <c r="L35" s="5"/>
      <c r="M35" s="5"/>
      <c r="N35" s="5"/>
      <c r="O35" s="5"/>
      <c r="P35" s="5"/>
      <c r="Q35" s="5"/>
    </row>
    <row r="36" spans="1:17" ht="13.8">
      <c r="I36" s="2"/>
      <c r="J36" s="1"/>
      <c r="K36" s="1"/>
      <c r="L36" s="3"/>
      <c r="M36" s="1"/>
      <c r="N36" s="1"/>
      <c r="O36" s="1"/>
      <c r="P36" s="1"/>
      <c r="Q36" s="1"/>
    </row>
    <row r="37" spans="1:17" ht="13.8">
      <c r="I37" s="2"/>
      <c r="J37" s="1"/>
      <c r="K37" s="1"/>
      <c r="L37" s="3"/>
      <c r="M37" s="1"/>
      <c r="N37" s="1"/>
      <c r="O37" s="1"/>
      <c r="P37" s="1"/>
      <c r="Q37" s="1"/>
    </row>
  </sheetData>
  <protectedRanges>
    <protectedRange sqref="K2:K3" name="Range1"/>
  </protectedRanges>
  <pageMargins left="0.75" right="0.75" top="1" bottom="1" header="0.5" footer="0.5"/>
  <pageSetup paperSize="9" orientation="portrait"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90" zoomScaleNormal="90" workbookViewId="0">
      <selection activeCell="S45" sqref="S45"/>
    </sheetView>
  </sheetViews>
  <sheetFormatPr defaultRowHeight="13.2"/>
  <sheetData/>
  <sheetProtection selectLockedCells="1" selectUnlockedCells="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Introduction</vt:lpstr>
      <vt:lpstr>Model data</vt:lpstr>
      <vt:lpstr>Method</vt:lpstr>
      <vt:lpstr>Plan1</vt:lpstr>
      <vt:lpstr>Mortality rates</vt:lpstr>
      <vt:lpstr>Graphs</vt:lpstr>
    </vt:vector>
  </TitlesOfParts>
  <Company>University of Cape Town (Commerce I.T.)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 Dorrrington</dc:creator>
  <cp:lastModifiedBy>Rafaella</cp:lastModifiedBy>
  <dcterms:created xsi:type="dcterms:W3CDTF">2011-09-04T06:06:40Z</dcterms:created>
  <dcterms:modified xsi:type="dcterms:W3CDTF">2019-11-04T13:20:29Z</dcterms:modified>
</cp:coreProperties>
</file>