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omments1.xml" ContentType="application/vnd.openxmlformats-officedocument.spreadsheetml.comments+xml"/>
  <Override PartName="/xl/charts/chart2.xml" ContentType="application/vnd.openxmlformats-officedocument.drawingml.chart+xml"/>
  <Override PartName="/xl/charts/chart3.xml" ContentType="application/vnd.openxmlformats-officedocument.drawingml.chart+xml"/>
  <Override PartName="/xl/drawings/drawing3.xml" ContentType="application/vnd.openxmlformats-officedocument.drawing+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571"/>
  <workbookPr defaultThemeVersion="124226"/>
  <mc:AlternateContent xmlns:mc="http://schemas.openxmlformats.org/markup-compatibility/2006">
    <mc:Choice Requires="x15">
      <x15ac:absPath xmlns:x15ac="http://schemas.microsoft.com/office/spreadsheetml/2010/11/ac" url="D:\Filr\My Files\sync\Documents\IUSSP\Technical Demography\Death distribution\"/>
    </mc:Choice>
  </mc:AlternateContent>
  <bookViews>
    <workbookView xWindow="0" yWindow="0" windowWidth="24000" windowHeight="9375"/>
  </bookViews>
  <sheets>
    <sheet name="Introduction" sheetId="2" r:id="rId1"/>
    <sheet name="Model data" sheetId="4" r:id="rId2"/>
    <sheet name="Method" sheetId="1" r:id="rId3"/>
    <sheet name="Life expectancies" sheetId="5" r:id="rId4"/>
    <sheet name="Graphs" sheetId="3" r:id="rId5"/>
  </sheets>
  <externalReferences>
    <externalReference r:id="rId6"/>
    <externalReference r:id="rId7"/>
    <externalReference r:id="rId8"/>
    <externalReference r:id="rId9"/>
  </externalReferences>
  <definedNames>
    <definedName name="__123Graph_A" hidden="1">'[1]Deadkids correction to CEB'!$Z$26:$Z$42</definedName>
    <definedName name="__123Graph_AADJUST" hidden="1">'[1]Deadkids correction to CEB'!$Z$26:$Z$42</definedName>
    <definedName name="__123Graph_ACOMPARE" hidden="1">'[1]Deadkids correction to CEB'!$X$3:$X$18</definedName>
    <definedName name="__123Graph_B" hidden="1">'[1]Deadkids correction to CEB'!$AC$26:$AC$42</definedName>
    <definedName name="__123Graph_BADJUST" hidden="1">'[1]Deadkids correction to CEB'!$AC$26:$AC$42</definedName>
    <definedName name="__123Graph_BCOMPARE" hidden="1">'[1]Deadkids correction to CEB'!$Y$3:$Y$19</definedName>
    <definedName name="__123Graph_C" hidden="1">'[1]Deadkids correction to CEB'!$AA$26:$AA$60</definedName>
    <definedName name="__123Graph_CADJUST" hidden="1">'[1]Deadkids correction to CEB'!$AA$26:$AA$60</definedName>
    <definedName name="__123Graph_CCOMPARE" hidden="1">'[1]Deadkids correction to CEB'!$X$3:$X$9</definedName>
    <definedName name="__123Graph_DCOMPARE" hidden="1">'[1]Deadkids correction to CEB'!$Y$3:$Y$9</definedName>
    <definedName name="__123Graph_F" hidden="1">'[1]Deadkids correction to CEB'!$AE$26:$AE$49</definedName>
    <definedName name="__123Graph_FADJUST" hidden="1">'[1]Deadkids correction to CEB'!$AE$26:$AE$49</definedName>
    <definedName name="__123Graph_LBL_A" hidden="1">'[1]Deadkids correction to CEB'!$AB$26:$AB$42</definedName>
    <definedName name="__123Graph_LBL_AADJUST" hidden="1">'[1]Deadkids correction to CEB'!$AB$26:$AB$42</definedName>
    <definedName name="__123Graph_LBL_ACOMPARE" hidden="1">'[1]Deadkids correction to CEB'!$V$3:$V$19</definedName>
    <definedName name="__123Graph_LBL_CCOMPARE" hidden="1">'[1]Deadkids correction to CEB'!$V$3:$V$9</definedName>
    <definedName name="__123Graph_LBL_F" hidden="1">'[1]Deadkids correction to CEB'!$AF$26:$AF$49</definedName>
    <definedName name="__123Graph_LBL_FADJUST" hidden="1">'[1]Deadkids correction to CEB'!$AF$26:$AF$49</definedName>
    <definedName name="__123Graph_X" hidden="1">'[1]Deadkids correction to CEB'!$Y$26:$Y$60</definedName>
    <definedName name="__123Graph_XADJUST" hidden="1">'[1]Deadkids correction to CEB'!$Y$26:$Y$60</definedName>
    <definedName name="__123Graph_XCOMPARE" hidden="1">'[1]Deadkids correction to CEB'!$W$3:$W$19</definedName>
    <definedName name="_Key1" localSheetId="3" hidden="1">#REF!</definedName>
    <definedName name="_Key1" localSheetId="1" hidden="1">#REF!</definedName>
    <definedName name="_Key1" hidden="1">#REF!</definedName>
    <definedName name="_Order1" hidden="1">255</definedName>
    <definedName name="_Sort" localSheetId="3" hidden="1">#REF!</definedName>
    <definedName name="_Sort" localSheetId="1" hidden="1">#REF!</definedName>
    <definedName name="_Sort" hidden="1">#REF!</definedName>
    <definedName name="ALPHAC" localSheetId="3">#REF!</definedName>
    <definedName name="ALPHAC" localSheetId="1">#REF!</definedName>
    <definedName name="ALPHAC">#REF!</definedName>
    <definedName name="ALPHAF" localSheetId="3">#REF!</definedName>
    <definedName name="ALPHAF" localSheetId="1">#REF!</definedName>
    <definedName name="ALPHAF">#REF!</definedName>
    <definedName name="ALPHAP" localSheetId="3">#REF!</definedName>
    <definedName name="ALPHAP">#REF!</definedName>
    <definedName name="BETAC" localSheetId="3">#REF!</definedName>
    <definedName name="BETAC">#REF!</definedName>
    <definedName name="BETAF" localSheetId="3">#REF!</definedName>
    <definedName name="BETAF">#REF!</definedName>
    <definedName name="BETAP" localSheetId="3">#REF!</definedName>
    <definedName name="BETAP">#REF!</definedName>
    <definedName name="CCONST" localSheetId="3">#REF!</definedName>
    <definedName name="CCONST">#REF!</definedName>
    <definedName name="CINTERCEPT" localSheetId="3">#REF!</definedName>
    <definedName name="CINTERCEPT">#REF!</definedName>
    <definedName name="CSLOP" localSheetId="3">#REF!</definedName>
    <definedName name="CSLOP">#REF!</definedName>
    <definedName name="Date_of_survey" localSheetId="1">'[2]Maternal orphanhood'!$S$1</definedName>
    <definedName name="Date_of_survey">'[3]Maternal orphanhood'!$T$1</definedName>
    <definedName name="FCONST" localSheetId="3">#REF!</definedName>
    <definedName name="FCONST" localSheetId="1">#REF!</definedName>
    <definedName name="FCONST">#REF!</definedName>
    <definedName name="FINTERCEPT" localSheetId="3">#REF!</definedName>
    <definedName name="FINTERCEPT">#REF!</definedName>
    <definedName name="FPTS" localSheetId="3">#REF!</definedName>
    <definedName name="FPTS">#REF!</definedName>
    <definedName name="FSLOP" localSheetId="3">#REF!</definedName>
    <definedName name="FSLOP">#REF!</definedName>
    <definedName name="graph1" hidden="1">[4]GOMP!$Z$26:$Z$42</definedName>
    <definedName name="graph10" hidden="1">[4]GOMP!$Y$3:$Y$9</definedName>
    <definedName name="graph11" hidden="1">[4]GOMP!$AE$26:$AE$49</definedName>
    <definedName name="graph12" hidden="1">[4]GOMP!$AE$26:$AE$49</definedName>
    <definedName name="graph13" hidden="1">[4]GOMP!$AB$26:$AB$42</definedName>
    <definedName name="graph14" hidden="1">[4]GOMP!$AB$26:$AB$42</definedName>
    <definedName name="graph15" hidden="1">[4]GOMP!$V$3:$V$19</definedName>
    <definedName name="graph16" hidden="1">[4]GOMP!$V$3:$V$9</definedName>
    <definedName name="graph17" hidden="1">[4]GOMP!$AF$26:$AF$49</definedName>
    <definedName name="graph18" hidden="1">[4]GOMP!$AF$26:$AF$49</definedName>
    <definedName name="graph19" hidden="1">[4]GOMP!$Y$26:$Y$60</definedName>
    <definedName name="graph1a" localSheetId="3" hidden="1">#REF!</definedName>
    <definedName name="graph1a" localSheetId="1" hidden="1">#REF!</definedName>
    <definedName name="graph1a" hidden="1">#REF!</definedName>
    <definedName name="graph2" hidden="1">[4]GOMP!$Z$26:$Z$42</definedName>
    <definedName name="graph20" hidden="1">[4]GOMP!$Y$26:$Y$60</definedName>
    <definedName name="graph21" hidden="1">[4]GOMP!$W$3:$W$19</definedName>
    <definedName name="graph3" hidden="1">[4]GOMP!$X$3:$X$18</definedName>
    <definedName name="graph4" hidden="1">[4]GOMP!$AC$26:$AC$42</definedName>
    <definedName name="graph5" hidden="1">[4]GOMP!$AC$26:$AC$42</definedName>
    <definedName name="graph6" hidden="1">[4]GOMP!$Y$3:$Y$19</definedName>
    <definedName name="graph7" hidden="1">[4]GOMP!$AA$26:$AA$60</definedName>
    <definedName name="graph8" hidden="1">[4]GOMP!$AA$26:$AA$60</definedName>
    <definedName name="graph9" hidden="1">[4]GOMP!$X$3:$X$9</definedName>
    <definedName name="HALF" localSheetId="3">#REF!</definedName>
    <definedName name="HALF" localSheetId="1">#REF!</definedName>
    <definedName name="HALF">#REF!</definedName>
    <definedName name="IMPORT" localSheetId="3">#REF!</definedName>
    <definedName name="IMPORT" localSheetId="1">#REF!</definedName>
    <definedName name="IMPORT">#REF!</definedName>
    <definedName name="INPUT" localSheetId="3">#REF!</definedName>
    <definedName name="INPUT" localSheetId="1">#REF!</definedName>
    <definedName name="INPUT">#REF!</definedName>
    <definedName name="LEGB" localSheetId="3">#REF!</definedName>
    <definedName name="LEGB">#REF!</definedName>
    <definedName name="LEGC" localSheetId="3">#REF!</definedName>
    <definedName name="LEGC">#REF!</definedName>
    <definedName name="LEVELC" localSheetId="3">#REF!</definedName>
    <definedName name="LEVELC">#REF!</definedName>
    <definedName name="LEVELF" localSheetId="3">#REF!</definedName>
    <definedName name="LEVELF">#REF!</definedName>
    <definedName name="LEVELP" localSheetId="3">#REF!</definedName>
    <definedName name="LEVELP">#REF!</definedName>
    <definedName name="MAXF" localSheetId="3">#REF!</definedName>
    <definedName name="MAXF">#REF!</definedName>
    <definedName name="MAXP" localSheetId="3">#REF!</definedName>
    <definedName name="MAXP">#REF!</definedName>
    <definedName name="MBAR" localSheetId="1">'[2]Maternal orphanhood'!$D$57</definedName>
    <definedName name="MBAR">'[3]Maternal orphanhood'!$D$43</definedName>
    <definedName name="MBAR_m" localSheetId="1">'[2]Paternal orphanhood'!$C$43</definedName>
    <definedName name="MBAR_m">'[3]Paternal orphanhood'!$C$31</definedName>
    <definedName name="MINF" localSheetId="3">#REF!</definedName>
    <definedName name="MINF" localSheetId="1">#REF!</definedName>
    <definedName name="MINF">#REF!</definedName>
    <definedName name="MINP" localSheetId="3">#REF!</definedName>
    <definedName name="MINP">#REF!</definedName>
    <definedName name="NC" localSheetId="3">#REF!</definedName>
    <definedName name="NC">#REF!</definedName>
    <definedName name="NF" localSheetId="3">#REF!</definedName>
    <definedName name="NF">#REF!</definedName>
    <definedName name="NONE" localSheetId="3">#REF!</definedName>
    <definedName name="NONE">#REF!</definedName>
    <definedName name="NP" localSheetId="3">#REF!</definedName>
    <definedName name="NP">#REF!</definedName>
    <definedName name="ONE_AHALF" localSheetId="3">#REF!</definedName>
    <definedName name="ONE_AHALF">#REF!</definedName>
    <definedName name="PCONST" localSheetId="3">#REF!</definedName>
    <definedName name="PCONST">#REF!</definedName>
    <definedName name="PINTERCEPT" localSheetId="3">#REF!</definedName>
    <definedName name="PINTERCEPT">#REF!</definedName>
    <definedName name="PPTS" localSheetId="3">#REF!</definedName>
    <definedName name="PPTS">#REF!</definedName>
    <definedName name="PSLOP" localSheetId="3">#REF!</definedName>
    <definedName name="PSLOP">#REF!</definedName>
    <definedName name="SHIFT" localSheetId="3">#REF!</definedName>
    <definedName name="SHIFT">#REF!</definedName>
    <definedName name="solver_adj" localSheetId="3" hidden="1">'Life expectancies'!#REF!</definedName>
    <definedName name="solver_adj" localSheetId="2" hidden="1">Method!$J$2</definedName>
    <definedName name="solver_cvg" localSheetId="3" hidden="1">0.0001</definedName>
    <definedName name="solver_cvg" localSheetId="2" hidden="1">0.0001</definedName>
    <definedName name="solver_drv" localSheetId="3" hidden="1">1</definedName>
    <definedName name="solver_drv" localSheetId="2" hidden="1">1</definedName>
    <definedName name="solver_eng" localSheetId="2" hidden="1">1</definedName>
    <definedName name="solver_est" localSheetId="3" hidden="1">1</definedName>
    <definedName name="solver_est" localSheetId="2" hidden="1">1</definedName>
    <definedName name="solver_itr" localSheetId="3" hidden="1">100</definedName>
    <definedName name="solver_itr" localSheetId="2" hidden="1">100</definedName>
    <definedName name="solver_lin" localSheetId="3" hidden="1">2</definedName>
    <definedName name="solver_lin" localSheetId="2" hidden="1">2</definedName>
    <definedName name="solver_mip" localSheetId="2" hidden="1">2147483647</definedName>
    <definedName name="solver_mni" localSheetId="2" hidden="1">30</definedName>
    <definedName name="solver_mrt" localSheetId="2" hidden="1">0.075</definedName>
    <definedName name="solver_msl" localSheetId="2" hidden="1">2</definedName>
    <definedName name="solver_neg" localSheetId="3" hidden="1">2</definedName>
    <definedName name="solver_neg" localSheetId="2" hidden="1">2</definedName>
    <definedName name="solver_nod" localSheetId="2" hidden="1">2147483647</definedName>
    <definedName name="solver_num" localSheetId="3" hidden="1">0</definedName>
    <definedName name="solver_num" localSheetId="2" hidden="1">0</definedName>
    <definedName name="solver_nwt" localSheetId="3" hidden="1">1</definedName>
    <definedName name="solver_nwt" localSheetId="2" hidden="1">1</definedName>
    <definedName name="solver_opt" localSheetId="3" hidden="1">'Life expectancies'!#REF!</definedName>
    <definedName name="solver_opt" localSheetId="2" hidden="1">Method!$J$3</definedName>
    <definedName name="solver_pre" localSheetId="3" hidden="1">0.000001</definedName>
    <definedName name="solver_pre" localSheetId="2" hidden="1">0.000001</definedName>
    <definedName name="solver_rbv" localSheetId="2" hidden="1">1</definedName>
    <definedName name="solver_rlx" localSheetId="2" hidden="1">1</definedName>
    <definedName name="solver_rsd" localSheetId="2" hidden="1">0</definedName>
    <definedName name="solver_scl" localSheetId="3" hidden="1">2</definedName>
    <definedName name="solver_scl" localSheetId="2" hidden="1">2</definedName>
    <definedName name="solver_sho" localSheetId="3" hidden="1">2</definedName>
    <definedName name="solver_sho" localSheetId="2" hidden="1">2</definedName>
    <definedName name="solver_ssz" localSheetId="2" hidden="1">100</definedName>
    <definedName name="solver_tim" localSheetId="3" hidden="1">100</definedName>
    <definedName name="solver_tim" localSheetId="2" hidden="1">100</definedName>
    <definedName name="solver_tol" localSheetId="3" hidden="1">0.05</definedName>
    <definedName name="solver_tol" localSheetId="2" hidden="1">0.05</definedName>
    <definedName name="solver_typ" localSheetId="3" hidden="1">2</definedName>
    <definedName name="solver_typ" localSheetId="2" hidden="1">2</definedName>
    <definedName name="solver_val" localSheetId="3" hidden="1">0</definedName>
    <definedName name="solver_val" localSheetId="2" hidden="1">0</definedName>
    <definedName name="solver_ver" localSheetId="2" hidden="1">3</definedName>
    <definedName name="TITLE" localSheetId="3">#REF!</definedName>
    <definedName name="TITLE" localSheetId="1">#REF!</definedName>
    <definedName name="TITLE">#REF!</definedName>
    <definedName name="WHICH" localSheetId="3">#REF!</definedName>
    <definedName name="WHICH" localSheetId="1">#REF!</definedName>
    <definedName name="WHICH">#REF!</definedName>
    <definedName name="WHOLE" localSheetId="3">#REF!</definedName>
    <definedName name="WHOLE" localSheetId="1">#REF!</definedName>
    <definedName name="WHOLE">#REF!</definedName>
    <definedName name="XC" localSheetId="3">#REF!</definedName>
    <definedName name="XC">#REF!</definedName>
    <definedName name="XF" localSheetId="3">#REF!</definedName>
    <definedName name="XF">#REF!</definedName>
    <definedName name="XP" localSheetId="3">#REF!</definedName>
    <definedName name="XP">#REF!</definedName>
    <definedName name="XXC" localSheetId="3">#REF!</definedName>
    <definedName name="XXC">#REF!</definedName>
    <definedName name="XXF" localSheetId="3">#REF!</definedName>
    <definedName name="XXF">#REF!</definedName>
    <definedName name="XXP" localSheetId="3">#REF!</definedName>
    <definedName name="XXP">#REF!</definedName>
    <definedName name="XYC" localSheetId="3">#REF!</definedName>
    <definedName name="XYC">#REF!</definedName>
    <definedName name="XYF" localSheetId="3">#REF!</definedName>
    <definedName name="XYF">#REF!</definedName>
    <definedName name="XYP" localSheetId="3">#REF!</definedName>
    <definedName name="XYP">#REF!</definedName>
    <definedName name="YC" localSheetId="3">#REF!</definedName>
    <definedName name="YC">#REF!</definedName>
    <definedName name="YF" localSheetId="3">#REF!</definedName>
    <definedName name="YF">#REF!</definedName>
    <definedName name="YP" localSheetId="3">#REF!</definedName>
    <definedName name="YP">#REF!</definedName>
    <definedName name="YYC" localSheetId="3">#REF!</definedName>
    <definedName name="YYC">#REF!</definedName>
    <definedName name="YYF" localSheetId="3">#REF!</definedName>
    <definedName name="YYF">#REF!</definedName>
    <definedName name="YYP" localSheetId="3">#REF!</definedName>
    <definedName name="YYP">#REF!</definedName>
  </definedNames>
  <calcPr calcId="171027"/>
</workbook>
</file>

<file path=xl/calcChain.xml><?xml version="1.0" encoding="utf-8"?>
<calcChain xmlns="http://schemas.openxmlformats.org/spreadsheetml/2006/main">
  <c r="C2" i="1" l="1"/>
  <c r="G24" i="5" l="1"/>
  <c r="B3" i="5" l="1"/>
  <c r="B1" i="5"/>
  <c r="B42" i="4" l="1"/>
  <c r="B41" i="4"/>
  <c r="B40" i="4"/>
  <c r="B39" i="4"/>
  <c r="B38" i="4"/>
  <c r="B37" i="4"/>
  <c r="B36" i="4"/>
  <c r="B35" i="4"/>
  <c r="B34" i="4"/>
  <c r="B33" i="4"/>
  <c r="B32" i="4"/>
  <c r="B31" i="4"/>
  <c r="B30" i="4"/>
  <c r="B29" i="4"/>
  <c r="B28" i="4"/>
  <c r="B27" i="4"/>
  <c r="B26" i="4"/>
  <c r="B23" i="4"/>
  <c r="J5" i="5" s="1"/>
  <c r="D39" i="5" l="1"/>
  <c r="E39" i="5"/>
  <c r="F39" i="5"/>
  <c r="G39" i="5"/>
  <c r="H39" i="5"/>
  <c r="I39" i="5"/>
  <c r="J39" i="5"/>
  <c r="K39" i="5"/>
  <c r="L39" i="5"/>
  <c r="M39" i="5"/>
  <c r="N39" i="5"/>
  <c r="O39" i="5"/>
  <c r="P39" i="5"/>
  <c r="Q39" i="5"/>
  <c r="R39" i="5"/>
  <c r="S39" i="5"/>
  <c r="T39" i="5"/>
  <c r="U39" i="5"/>
  <c r="V39" i="5"/>
  <c r="W39" i="5"/>
  <c r="X39" i="5"/>
  <c r="Y39" i="5"/>
  <c r="Z39" i="5"/>
  <c r="AA39" i="5"/>
  <c r="D40" i="5"/>
  <c r="E40" i="5"/>
  <c r="F40" i="5"/>
  <c r="G40" i="5"/>
  <c r="H40" i="5"/>
  <c r="I40" i="5"/>
  <c r="J40" i="5"/>
  <c r="K40" i="5"/>
  <c r="L40" i="5"/>
  <c r="M40" i="5"/>
  <c r="N40" i="5"/>
  <c r="O40" i="5"/>
  <c r="P40" i="5"/>
  <c r="Q40" i="5"/>
  <c r="R40" i="5"/>
  <c r="S40" i="5"/>
  <c r="T40" i="5"/>
  <c r="U40" i="5"/>
  <c r="V40" i="5"/>
  <c r="W40" i="5"/>
  <c r="X40" i="5"/>
  <c r="Y40" i="5"/>
  <c r="Z40" i="5"/>
  <c r="AA40" i="5"/>
  <c r="D41" i="5"/>
  <c r="E41" i="5"/>
  <c r="F41" i="5"/>
  <c r="G41" i="5"/>
  <c r="H41" i="5"/>
  <c r="I41" i="5"/>
  <c r="J41" i="5"/>
  <c r="K41" i="5"/>
  <c r="L41" i="5"/>
  <c r="M41" i="5"/>
  <c r="N41" i="5"/>
  <c r="O41" i="5"/>
  <c r="P41" i="5"/>
  <c r="Q41" i="5"/>
  <c r="R41" i="5"/>
  <c r="S41" i="5"/>
  <c r="T41" i="5"/>
  <c r="U41" i="5"/>
  <c r="V41" i="5"/>
  <c r="W41" i="5"/>
  <c r="X41" i="5"/>
  <c r="Y41" i="5"/>
  <c r="Z41" i="5"/>
  <c r="AA41" i="5"/>
  <c r="D42" i="5"/>
  <c r="E42" i="5"/>
  <c r="F42" i="5"/>
  <c r="G42" i="5"/>
  <c r="H42" i="5"/>
  <c r="I42" i="5"/>
  <c r="J42" i="5"/>
  <c r="K42" i="5"/>
  <c r="L42" i="5"/>
  <c r="M42" i="5"/>
  <c r="N42" i="5"/>
  <c r="O42" i="5"/>
  <c r="P42" i="5"/>
  <c r="Q42" i="5"/>
  <c r="R42" i="5"/>
  <c r="S42" i="5"/>
  <c r="T42" i="5"/>
  <c r="U42" i="5"/>
  <c r="V42" i="5"/>
  <c r="W42" i="5"/>
  <c r="X42" i="5"/>
  <c r="Y42" i="5"/>
  <c r="Z42" i="5"/>
  <c r="AA42" i="5"/>
  <c r="D43" i="5"/>
  <c r="E43" i="5"/>
  <c r="F43" i="5"/>
  <c r="G43" i="5"/>
  <c r="H43" i="5"/>
  <c r="I43" i="5"/>
  <c r="J43" i="5"/>
  <c r="K43" i="5"/>
  <c r="L43" i="5"/>
  <c r="M43" i="5"/>
  <c r="N43" i="5"/>
  <c r="O43" i="5"/>
  <c r="P43" i="5"/>
  <c r="Q43" i="5"/>
  <c r="R43" i="5"/>
  <c r="S43" i="5"/>
  <c r="T43" i="5"/>
  <c r="U43" i="5"/>
  <c r="V43" i="5"/>
  <c r="W43" i="5"/>
  <c r="X43" i="5"/>
  <c r="Y43" i="5"/>
  <c r="Z43" i="5"/>
  <c r="AA43" i="5"/>
  <c r="C40" i="5"/>
  <c r="C41" i="5"/>
  <c r="C42" i="5"/>
  <c r="C43" i="5"/>
  <c r="C39" i="5"/>
  <c r="B29" i="5" l="1"/>
  <c r="E3" i="1"/>
  <c r="G17" i="1" s="1"/>
  <c r="E2" i="1"/>
  <c r="G24" i="1"/>
  <c r="G23" i="1"/>
  <c r="E25" i="1"/>
  <c r="E24" i="1"/>
  <c r="E23" i="1"/>
  <c r="E22" i="1" s="1"/>
  <c r="E21" i="1" s="1"/>
  <c r="E20" i="1" s="1"/>
  <c r="E19" i="1" s="1"/>
  <c r="E18" i="1" s="1"/>
  <c r="E17" i="1" s="1"/>
  <c r="E16" i="1" s="1"/>
  <c r="E15" i="1" s="1"/>
  <c r="E14" i="1" s="1"/>
  <c r="E13" i="1" s="1"/>
  <c r="E12" i="1" s="1"/>
  <c r="E11" i="1" s="1"/>
  <c r="E10" i="1" s="1"/>
  <c r="C3" i="1"/>
  <c r="C1" i="1"/>
  <c r="C35" i="5" l="1"/>
  <c r="C31" i="5"/>
  <c r="D33" i="5"/>
  <c r="D34" i="5"/>
  <c r="C34" i="5"/>
  <c r="C29" i="5"/>
  <c r="D32" i="5"/>
  <c r="C33" i="5"/>
  <c r="D35" i="5"/>
  <c r="D31" i="5"/>
  <c r="C32" i="5"/>
  <c r="D29" i="5"/>
  <c r="B16" i="5"/>
  <c r="D16" i="5" s="1"/>
  <c r="F16" i="1"/>
  <c r="B22" i="5"/>
  <c r="D22" i="5" s="1"/>
  <c r="B14" i="5"/>
  <c r="D14" i="5" s="1"/>
  <c r="B11" i="5"/>
  <c r="D11" i="5" s="1"/>
  <c r="B20" i="5"/>
  <c r="D20" i="5" s="1"/>
  <c r="B12" i="5"/>
  <c r="D12" i="5" s="1"/>
  <c r="B18" i="5"/>
  <c r="D18" i="5" s="1"/>
  <c r="B10" i="5"/>
  <c r="D10" i="5" s="1"/>
  <c r="B24" i="5"/>
  <c r="D24" i="5" s="1"/>
  <c r="B8" i="5"/>
  <c r="D8" i="5" s="1"/>
  <c r="B21" i="5"/>
  <c r="D21" i="5" s="1"/>
  <c r="B17" i="5"/>
  <c r="D17" i="5" s="1"/>
  <c r="B13" i="5"/>
  <c r="D13" i="5" s="1"/>
  <c r="B9" i="5"/>
  <c r="D9" i="5" s="1"/>
  <c r="B23" i="5"/>
  <c r="D23" i="5" s="1"/>
  <c r="B19" i="5"/>
  <c r="D19" i="5" s="1"/>
  <c r="B15" i="5"/>
  <c r="D15" i="5" s="1"/>
  <c r="G15" i="1"/>
  <c r="G11" i="1"/>
  <c r="G8" i="1"/>
  <c r="G22" i="1"/>
  <c r="G10" i="1"/>
  <c r="G19" i="1"/>
  <c r="G14" i="1"/>
  <c r="G9" i="1"/>
  <c r="G18" i="1"/>
  <c r="G13" i="1"/>
  <c r="G21" i="1"/>
  <c r="G20" i="1"/>
  <c r="G16" i="1"/>
  <c r="G12" i="1"/>
  <c r="E9" i="1"/>
  <c r="E29" i="5" l="1"/>
  <c r="B31" i="5" s="1"/>
  <c r="A21" i="5"/>
  <c r="A22" i="5"/>
  <c r="E23" i="5"/>
  <c r="A23" i="5"/>
  <c r="E24" i="5"/>
  <c r="A24" i="5"/>
  <c r="A20" i="5"/>
  <c r="B34" i="5" l="1"/>
  <c r="B35" i="5"/>
  <c r="B32" i="5"/>
  <c r="B33" i="5"/>
  <c r="Q6" i="5" l="1"/>
  <c r="P6" i="5"/>
  <c r="O6" i="5"/>
  <c r="N6" i="5"/>
  <c r="M6" i="5"/>
  <c r="L6" i="5"/>
  <c r="K6" i="5"/>
  <c r="J6" i="5"/>
  <c r="I6" i="5"/>
  <c r="H6" i="5"/>
  <c r="G6" i="5"/>
  <c r="F6" i="5"/>
  <c r="E6" i="5"/>
  <c r="D6" i="5"/>
  <c r="C6" i="5"/>
  <c r="B6" i="5"/>
  <c r="A6" i="5"/>
  <c r="C42" i="4"/>
  <c r="C41" i="4"/>
  <c r="C40" i="4"/>
  <c r="C39" i="4"/>
  <c r="C38" i="4"/>
  <c r="C37" i="4"/>
  <c r="C36" i="4"/>
  <c r="C35" i="4"/>
  <c r="C34" i="4"/>
  <c r="C33" i="4"/>
  <c r="C32" i="4"/>
  <c r="C31" i="4"/>
  <c r="C30" i="4"/>
  <c r="C29" i="4"/>
  <c r="C28" i="4"/>
  <c r="C27" i="4"/>
  <c r="C26" i="4"/>
  <c r="D26" i="4" s="1"/>
  <c r="J8" i="5" s="1"/>
  <c r="D30" i="4" l="1"/>
  <c r="J12" i="5" s="1"/>
  <c r="D38" i="4"/>
  <c r="J20" i="5" s="1"/>
  <c r="D28" i="4"/>
  <c r="J10" i="5" s="1"/>
  <c r="D31" i="4"/>
  <c r="J13" i="5" s="1"/>
  <c r="K13" i="5" s="1"/>
  <c r="D34" i="4"/>
  <c r="J16" i="5" s="1"/>
  <c r="K16" i="5" s="1"/>
  <c r="D41" i="4"/>
  <c r="J23" i="5" s="1"/>
  <c r="D29" i="4"/>
  <c r="J11" i="5" s="1"/>
  <c r="D32" i="4"/>
  <c r="J14" i="5" s="1"/>
  <c r="K14" i="5" s="1"/>
  <c r="D35" i="4"/>
  <c r="J17" i="5" s="1"/>
  <c r="K17" i="5" s="1"/>
  <c r="D33" i="4"/>
  <c r="J15" i="5" s="1"/>
  <c r="D36" i="4"/>
  <c r="J18" i="5" s="1"/>
  <c r="D39" i="4"/>
  <c r="J21" i="5" s="1"/>
  <c r="K21" i="5" s="1"/>
  <c r="D42" i="4"/>
  <c r="J24" i="5" s="1"/>
  <c r="K24" i="5" s="1"/>
  <c r="D27" i="4"/>
  <c r="J9" i="5" s="1"/>
  <c r="D37" i="4"/>
  <c r="J19" i="5" s="1"/>
  <c r="D40" i="4"/>
  <c r="J22" i="5" s="1"/>
  <c r="K22" i="5" s="1"/>
  <c r="K18" i="5"/>
  <c r="K12" i="5"/>
  <c r="K10" i="5"/>
  <c r="K20" i="5"/>
  <c r="K9" i="5"/>
  <c r="K11" i="5"/>
  <c r="K15" i="5"/>
  <c r="K19" i="5"/>
  <c r="K23" i="5"/>
  <c r="D7" i="1"/>
  <c r="C7" i="1"/>
  <c r="J25" i="5" l="1"/>
  <c r="J26" i="5" s="1"/>
  <c r="K26" i="5" s="1"/>
  <c r="J27" i="5" l="1"/>
  <c r="K27" i="5" s="1"/>
  <c r="K25" i="5"/>
  <c r="M22" i="1"/>
  <c r="D27" i="1" l="1"/>
  <c r="A25" i="1"/>
  <c r="B24" i="1"/>
  <c r="A24" i="1"/>
  <c r="B23" i="1"/>
  <c r="A23" i="1"/>
  <c r="B22" i="1"/>
  <c r="A22" i="1"/>
  <c r="B21" i="1"/>
  <c r="A21" i="1"/>
  <c r="B7" i="1"/>
  <c r="E7" i="1"/>
  <c r="F7" i="1"/>
  <c r="G7" i="1"/>
  <c r="H7" i="1"/>
  <c r="I7" i="1"/>
  <c r="A7" i="1"/>
  <c r="C27" i="1"/>
  <c r="F4" i="1" l="1"/>
  <c r="F24" i="1" l="1"/>
  <c r="I24" i="1" s="1"/>
  <c r="F23" i="1" l="1"/>
  <c r="G27" i="1"/>
  <c r="F22" i="1" l="1"/>
  <c r="F21" i="1"/>
  <c r="H24" i="1" l="1"/>
  <c r="I23" i="1" l="1"/>
  <c r="H23" i="1"/>
  <c r="I22" i="1" l="1"/>
  <c r="H22" i="1"/>
  <c r="F20" i="1"/>
  <c r="I20" i="1" s="1"/>
  <c r="H21" i="1" l="1"/>
  <c r="I21" i="1"/>
  <c r="F19" i="1" l="1"/>
  <c r="H20" i="1"/>
  <c r="H19" i="1" l="1"/>
  <c r="I19" i="1"/>
  <c r="F18" i="1"/>
  <c r="I18" i="1" l="1"/>
  <c r="H18" i="1"/>
  <c r="F17" i="1"/>
  <c r="H17" i="1" l="1"/>
  <c r="I17" i="1"/>
  <c r="I16" i="1" l="1"/>
  <c r="H16" i="1"/>
  <c r="F15" i="1"/>
  <c r="H15" i="1" l="1"/>
  <c r="I15" i="1"/>
  <c r="F14" i="1"/>
  <c r="I14" i="1" l="1"/>
  <c r="H14" i="1"/>
  <c r="F13" i="1"/>
  <c r="H13" i="1" l="1"/>
  <c r="I13" i="1"/>
  <c r="F12" i="1"/>
  <c r="I12" i="1" l="1"/>
  <c r="H12" i="1"/>
  <c r="F11" i="1"/>
  <c r="H11" i="1" l="1"/>
  <c r="I11" i="1"/>
  <c r="N23" i="1" s="1"/>
  <c r="F9" i="1"/>
  <c r="F10" i="1"/>
  <c r="M23" i="1"/>
  <c r="C10" i="5" l="1"/>
  <c r="C14" i="5"/>
  <c r="C18" i="5"/>
  <c r="C22" i="5"/>
  <c r="E22" i="5" s="1"/>
  <c r="C11" i="5"/>
  <c r="C15" i="5"/>
  <c r="C19" i="5"/>
  <c r="C23" i="5"/>
  <c r="G22" i="5" s="1"/>
  <c r="C12" i="5"/>
  <c r="C16" i="5"/>
  <c r="C20" i="5"/>
  <c r="C24" i="5"/>
  <c r="G23" i="5" s="1"/>
  <c r="C9" i="5"/>
  <c r="C13" i="5"/>
  <c r="C17" i="5"/>
  <c r="C21" i="5"/>
  <c r="E21" i="5" s="1"/>
  <c r="C8" i="5"/>
  <c r="I9" i="1"/>
  <c r="H9" i="1"/>
  <c r="H10" i="1"/>
  <c r="I10" i="1"/>
  <c r="M25" i="1"/>
  <c r="J3" i="1"/>
  <c r="M24" i="1"/>
  <c r="E20" i="5" l="1"/>
  <c r="G20" i="5" s="1"/>
  <c r="G21" i="5"/>
  <c r="E18" i="5"/>
  <c r="G18" i="5" s="1"/>
  <c r="E15" i="5"/>
  <c r="G15" i="5" s="1"/>
  <c r="E19" i="5"/>
  <c r="G19" i="5" s="1"/>
  <c r="E14" i="5"/>
  <c r="G14" i="5" s="1"/>
  <c r="E11" i="5"/>
  <c r="G11" i="5" s="1"/>
  <c r="E17" i="5"/>
  <c r="G17" i="5" s="1"/>
  <c r="E12" i="5"/>
  <c r="G12" i="5" s="1"/>
  <c r="E9" i="5"/>
  <c r="G9" i="5" s="1"/>
  <c r="E10" i="5"/>
  <c r="G10" i="5" s="1"/>
  <c r="E16" i="5"/>
  <c r="G16" i="5" s="1"/>
  <c r="E13" i="5"/>
  <c r="G13" i="5" s="1"/>
  <c r="B26" i="5"/>
  <c r="C26" i="5" l="1"/>
  <c r="E8" i="5"/>
  <c r="G8" i="5" s="1"/>
  <c r="H9" i="5" s="1"/>
  <c r="I9" i="5" l="1"/>
  <c r="H10" i="5"/>
  <c r="I10" i="5" l="1"/>
  <c r="H11" i="5"/>
  <c r="H12" i="5" l="1"/>
  <c r="I11" i="5"/>
  <c r="I12" i="5" l="1"/>
  <c r="H13" i="5"/>
  <c r="H14" i="5" l="1"/>
  <c r="I13" i="5"/>
  <c r="I14" i="5" l="1"/>
  <c r="H15" i="5"/>
  <c r="I15" i="5" l="1"/>
  <c r="H16" i="5"/>
  <c r="I16" i="5" l="1"/>
  <c r="H17" i="5"/>
  <c r="I17" i="5" l="1"/>
  <c r="H18" i="5"/>
  <c r="I18" i="5" l="1"/>
  <c r="H19" i="5"/>
  <c r="H20" i="5" l="1"/>
  <c r="I19" i="5"/>
  <c r="H21" i="5" l="1"/>
  <c r="I20" i="5"/>
  <c r="I21" i="5" l="1"/>
  <c r="H22" i="5"/>
  <c r="I22" i="5" l="1"/>
  <c r="H23" i="5"/>
  <c r="H24" i="5" l="1"/>
  <c r="I23" i="5"/>
  <c r="H25" i="5" l="1"/>
  <c r="I25" i="5" s="1"/>
  <c r="I24" i="5"/>
  <c r="M2" i="5"/>
  <c r="M3" i="5"/>
  <c r="L22" i="5" l="1"/>
  <c r="M22" i="5" s="1"/>
  <c r="L16" i="5"/>
  <c r="M16" i="5" s="1"/>
  <c r="L27" i="5"/>
  <c r="M27" i="5" s="1"/>
  <c r="N27" i="5" s="1"/>
  <c r="L9" i="5"/>
  <c r="M9" i="5" s="1"/>
  <c r="L14" i="5"/>
  <c r="M14" i="5" s="1"/>
  <c r="L20" i="5"/>
  <c r="M20" i="5" s="1"/>
  <c r="L13" i="5"/>
  <c r="M13" i="5" s="1"/>
  <c r="L24" i="5"/>
  <c r="M24" i="5" s="1"/>
  <c r="L23" i="5"/>
  <c r="M23" i="5" s="1"/>
  <c r="L21" i="5"/>
  <c r="M21" i="5" s="1"/>
  <c r="L26" i="5"/>
  <c r="M26" i="5" s="1"/>
  <c r="L11" i="5"/>
  <c r="M11" i="5" s="1"/>
  <c r="L25" i="5"/>
  <c r="M25" i="5" s="1"/>
  <c r="L10" i="5"/>
  <c r="M10" i="5" s="1"/>
  <c r="L18" i="5"/>
  <c r="M18" i="5" s="1"/>
  <c r="L19" i="5"/>
  <c r="M19" i="5" s="1"/>
  <c r="L17" i="5"/>
  <c r="M17" i="5" s="1"/>
  <c r="L15" i="5"/>
  <c r="M15" i="5" s="1"/>
  <c r="P15" i="5" s="1"/>
  <c r="L12" i="5"/>
  <c r="M12" i="5" s="1"/>
  <c r="P12" i="5" s="1"/>
  <c r="P11" i="5" l="1"/>
  <c r="P24" i="5"/>
  <c r="P13" i="5"/>
  <c r="P21" i="5"/>
  <c r="P19" i="5"/>
  <c r="O2" i="5"/>
  <c r="N26" i="5"/>
  <c r="N25" i="5" s="1"/>
  <c r="P10" i="5"/>
  <c r="P20" i="5"/>
  <c r="P16" i="5"/>
  <c r="P8" i="5"/>
  <c r="P9" i="5"/>
  <c r="P18" i="5"/>
  <c r="P17" i="5"/>
  <c r="O3" i="5"/>
  <c r="P23" i="5"/>
  <c r="P14" i="5"/>
  <c r="P22" i="5"/>
  <c r="N24" i="5" l="1"/>
  <c r="O25" i="5"/>
  <c r="P25" i="5" s="1"/>
  <c r="N23" i="5" l="1"/>
  <c r="O24" i="5"/>
  <c r="O23" i="5" l="1"/>
  <c r="N22" i="5"/>
  <c r="O22" i="5" l="1"/>
  <c r="N21" i="5"/>
  <c r="N20" i="5" l="1"/>
  <c r="O21" i="5"/>
  <c r="O20" i="5" l="1"/>
  <c r="N19" i="5"/>
  <c r="N18" i="5" l="1"/>
  <c r="O19" i="5"/>
  <c r="O18" i="5" l="1"/>
  <c r="N17" i="5"/>
  <c r="O17" i="5" l="1"/>
  <c r="N16" i="5"/>
  <c r="N15" i="5" l="1"/>
  <c r="O16" i="5"/>
  <c r="O15" i="5" l="1"/>
  <c r="N14" i="5"/>
  <c r="O14" i="5" l="1"/>
  <c r="N13" i="5"/>
  <c r="O13" i="5" l="1"/>
  <c r="N12" i="5"/>
  <c r="O12" i="5" l="1"/>
  <c r="N11" i="5"/>
  <c r="N10" i="5" l="1"/>
  <c r="O11" i="5"/>
  <c r="N9" i="5" l="1"/>
  <c r="O10" i="5"/>
  <c r="O9" i="5" l="1"/>
  <c r="N8" i="5"/>
  <c r="O8" i="5" s="1"/>
</calcChain>
</file>

<file path=xl/comments1.xml><?xml version="1.0" encoding="utf-8"?>
<comments xmlns="http://schemas.openxmlformats.org/spreadsheetml/2006/main">
  <authors>
    <author>Rob Dorrrington</author>
  </authors>
  <commentList>
    <comment ref="N1" authorId="0" shapeId="0">
      <text>
        <r>
          <rPr>
            <b/>
            <sz val="12"/>
            <color indexed="81"/>
            <rFont val="Tahoma"/>
            <family val="2"/>
          </rPr>
          <t>These values are only valid if the standard is table used to smooth the rates (col AE) is appropriate. An approprite table produces a fit with most of the points in the graphs to the right lying close to the line.
As it stands this table is set up primarily to estimate e(65) to e(85).</t>
        </r>
      </text>
    </comment>
  </commentList>
</comments>
</file>

<file path=xl/sharedStrings.xml><?xml version="1.0" encoding="utf-8"?>
<sst xmlns="http://schemas.openxmlformats.org/spreadsheetml/2006/main" count="167" uniqueCount="134">
  <si>
    <t xml:space="preserve">Lower age= </t>
  </si>
  <si>
    <t>Fit from:</t>
  </si>
  <si>
    <t>Upper age =</t>
  </si>
  <si>
    <t>Fit to:</t>
  </si>
  <si>
    <t>x</t>
  </si>
  <si>
    <t>Age</t>
  </si>
  <si>
    <t>Alpha  =</t>
  </si>
  <si>
    <t>45q15 =</t>
  </si>
  <si>
    <t>Beta   =</t>
  </si>
  <si>
    <t>35q15 =</t>
  </si>
  <si>
    <t>0- 4</t>
  </si>
  <si>
    <t>5- 9</t>
  </si>
  <si>
    <t>10-14</t>
  </si>
  <si>
    <t>15-19</t>
  </si>
  <si>
    <t>20-24</t>
  </si>
  <si>
    <t>25-29</t>
  </si>
  <si>
    <t>30-34</t>
  </si>
  <si>
    <t>35-39</t>
  </si>
  <si>
    <t>40-44</t>
  </si>
  <si>
    <t>45-49</t>
  </si>
  <si>
    <t>50-54</t>
  </si>
  <si>
    <t>55-59</t>
  </si>
  <si>
    <t>60-64</t>
  </si>
  <si>
    <t>Total</t>
  </si>
  <si>
    <t>Country:</t>
  </si>
  <si>
    <t>Midpoint of the deaths:</t>
  </si>
  <si>
    <t>Age range over which line to be fitted</t>
  </si>
  <si>
    <t>avdevN(x+)</t>
  </si>
  <si>
    <t>Lower age=</t>
  </si>
  <si>
    <t>lower 25% &lt;</t>
  </si>
  <si>
    <t>upper 25% &gt;</t>
  </si>
  <si>
    <t>Sum 15+</t>
  </si>
  <si>
    <t>Females</t>
  </si>
  <si>
    <t>Sex</t>
  </si>
  <si>
    <t>FEMALES</t>
  </si>
  <si>
    <t>Level</t>
  </si>
  <si>
    <t>Ratio</t>
  </si>
  <si>
    <t>e(65)</t>
  </si>
  <si>
    <t>e(70)</t>
  </si>
  <si>
    <t>e(75)</t>
  </si>
  <si>
    <t>e(80)</t>
  </si>
  <si>
    <t>e(85)</t>
  </si>
  <si>
    <t>MALE</t>
  </si>
  <si>
    <t>A</t>
  </si>
  <si>
    <r>
      <rPr>
        <i/>
        <sz val="10"/>
        <rFont val="Arial"/>
        <family val="2"/>
      </rPr>
      <t>e</t>
    </r>
    <r>
      <rPr>
        <sz val="10"/>
        <rFont val="Arial"/>
        <family val="2"/>
      </rPr>
      <t>(</t>
    </r>
    <r>
      <rPr>
        <i/>
        <sz val="10"/>
        <rFont val="Arial"/>
        <family val="2"/>
      </rPr>
      <t>A</t>
    </r>
    <r>
      <rPr>
        <sz val="10"/>
        <rFont val="Arial"/>
        <family val="2"/>
      </rPr>
      <t>)</t>
    </r>
  </si>
  <si>
    <t>WARNING</t>
  </si>
  <si>
    <r>
      <rPr>
        <vertAlign val="subscript"/>
        <sz val="10"/>
        <color theme="1"/>
        <rFont val="Arial"/>
        <family val="2"/>
      </rPr>
      <t>30</t>
    </r>
    <r>
      <rPr>
        <i/>
        <sz val="10"/>
        <color theme="1"/>
        <rFont val="Arial"/>
        <family val="2"/>
      </rPr>
      <t>d</t>
    </r>
    <r>
      <rPr>
        <vertAlign val="subscript"/>
        <sz val="10"/>
        <color theme="1"/>
        <rFont val="Arial"/>
        <family val="2"/>
      </rPr>
      <t>10</t>
    </r>
    <r>
      <rPr>
        <sz val="10"/>
        <rFont val="Arial"/>
        <family val="2"/>
      </rPr>
      <t>/</t>
    </r>
    <r>
      <rPr>
        <vertAlign val="subscript"/>
        <sz val="10"/>
        <color theme="1"/>
        <rFont val="Arial"/>
        <family val="2"/>
      </rPr>
      <t>20</t>
    </r>
    <r>
      <rPr>
        <i/>
        <sz val="10"/>
        <color theme="1"/>
        <rFont val="Arial"/>
        <family val="2"/>
      </rPr>
      <t>d</t>
    </r>
    <r>
      <rPr>
        <vertAlign val="subscript"/>
        <sz val="10"/>
        <color theme="1"/>
        <rFont val="Arial"/>
        <family val="2"/>
      </rPr>
      <t>40</t>
    </r>
    <r>
      <rPr>
        <sz val="10"/>
        <rFont val="Arial"/>
        <family val="2"/>
      </rPr>
      <t xml:space="preserve"> =</t>
    </r>
  </si>
  <si>
    <t xml:space="preserve">This method is described at: </t>
  </si>
  <si>
    <t>Estimation of adult mortality using the Synthetic Extinct Generations model - Instructions</t>
  </si>
  <si>
    <t>Application</t>
  </si>
  <si>
    <t>(a) An independent source such as the UN Population Division's World Population Prospects</t>
  </si>
  <si>
    <t>El Salvador</t>
  </si>
  <si>
    <r>
      <t xml:space="preserve">Model life table logits </t>
    </r>
    <r>
      <rPr>
        <b/>
        <i/>
        <sz val="12"/>
        <rFont val="Arial"/>
        <family val="2"/>
      </rPr>
      <t>e</t>
    </r>
    <r>
      <rPr>
        <b/>
        <vertAlign val="subscript"/>
        <sz val="12"/>
        <rFont val="Arial"/>
        <family val="2"/>
      </rPr>
      <t>0</t>
    </r>
    <r>
      <rPr>
        <b/>
        <sz val="12"/>
        <rFont val="Arial"/>
        <family val="2"/>
      </rPr>
      <t>=60, female</t>
    </r>
  </si>
  <si>
    <r>
      <t>Women</t>
    </r>
    <r>
      <rPr>
        <b/>
        <i/>
        <sz val="12"/>
        <rFont val="Arial Narrow"/>
        <family val="2"/>
      </rPr>
      <t xml:space="preserve"> e</t>
    </r>
    <r>
      <rPr>
        <b/>
        <vertAlign val="subscript"/>
        <sz val="12"/>
        <rFont val="Arial Narrow"/>
        <family val="2"/>
      </rPr>
      <t>0</t>
    </r>
    <r>
      <rPr>
        <b/>
        <sz val="12"/>
        <rFont val="Arial Narrow"/>
        <family val="2"/>
      </rPr>
      <t>=55</t>
    </r>
  </si>
  <si>
    <r>
      <t xml:space="preserve">Model life table logits </t>
    </r>
    <r>
      <rPr>
        <b/>
        <i/>
        <sz val="12"/>
        <rFont val="Arial"/>
        <family val="2"/>
      </rPr>
      <t>e</t>
    </r>
    <r>
      <rPr>
        <b/>
        <vertAlign val="subscript"/>
        <sz val="12"/>
        <rFont val="Arial"/>
        <family val="2"/>
      </rPr>
      <t>0</t>
    </r>
    <r>
      <rPr>
        <b/>
        <sz val="12"/>
        <rFont val="Arial"/>
        <family val="2"/>
      </rPr>
      <t>=60, male</t>
    </r>
  </si>
  <si>
    <r>
      <t xml:space="preserve">Men </t>
    </r>
    <r>
      <rPr>
        <b/>
        <i/>
        <sz val="12"/>
        <rFont val="Arial Narrow"/>
        <family val="2"/>
      </rPr>
      <t>e</t>
    </r>
    <r>
      <rPr>
        <b/>
        <vertAlign val="subscript"/>
        <sz val="12"/>
        <rFont val="Arial Narrow"/>
        <family val="2"/>
      </rPr>
      <t>0</t>
    </r>
    <r>
      <rPr>
        <b/>
        <sz val="12"/>
        <rFont val="Arial Narrow"/>
        <family val="2"/>
      </rPr>
      <t>=50</t>
    </r>
  </si>
  <si>
    <t>UN General</t>
  </si>
  <si>
    <t>Princeton East</t>
  </si>
  <si>
    <t>Princeton North</t>
  </si>
  <si>
    <t>Princeton South</t>
  </si>
  <si>
    <t>Princeton West</t>
  </si>
  <si>
    <t>AIDS</t>
  </si>
  <si>
    <t>Other</t>
  </si>
  <si>
    <t>Standard life table</t>
  </si>
  <si>
    <t>Modified</t>
  </si>
  <si>
    <r>
      <rPr>
        <b/>
        <i/>
        <sz val="11"/>
        <rFont val="Arial"/>
        <family val="2"/>
      </rPr>
      <t>e</t>
    </r>
    <r>
      <rPr>
        <b/>
        <vertAlign val="subscript"/>
        <sz val="11"/>
        <rFont val="Arial"/>
        <family val="2"/>
      </rPr>
      <t>0</t>
    </r>
    <r>
      <rPr>
        <b/>
        <sz val="11"/>
        <rFont val="Arial"/>
        <family val="2"/>
      </rPr>
      <t xml:space="preserve"> = 60</t>
    </r>
  </si>
  <si>
    <t>Standard</t>
  </si>
  <si>
    <r>
      <rPr>
        <b/>
        <i/>
        <sz val="11"/>
        <rFont val="Arial"/>
        <family val="2"/>
      </rPr>
      <t>Y</t>
    </r>
    <r>
      <rPr>
        <b/>
        <vertAlign val="subscript"/>
        <sz val="11"/>
        <rFont val="Arial"/>
        <family val="2"/>
      </rPr>
      <t>s</t>
    </r>
    <r>
      <rPr>
        <b/>
        <sz val="11"/>
        <rFont val="Arial"/>
        <family val="2"/>
      </rPr>
      <t>(</t>
    </r>
    <r>
      <rPr>
        <b/>
        <i/>
        <sz val="11"/>
        <rFont val="Arial"/>
        <family val="2"/>
      </rPr>
      <t>x</t>
    </r>
    <r>
      <rPr>
        <b/>
        <sz val="11"/>
        <rFont val="Arial"/>
        <family val="2"/>
      </rPr>
      <t>)</t>
    </r>
  </si>
  <si>
    <r>
      <rPr>
        <b/>
        <i/>
        <sz val="12"/>
        <rFont val="Arial"/>
        <family val="2"/>
      </rPr>
      <t>l</t>
    </r>
    <r>
      <rPr>
        <b/>
        <sz val="11"/>
        <rFont val="Arial"/>
        <family val="2"/>
      </rPr>
      <t>(</t>
    </r>
    <r>
      <rPr>
        <b/>
        <i/>
        <sz val="11"/>
        <rFont val="Arial"/>
        <family val="2"/>
      </rPr>
      <t>x</t>
    </r>
    <r>
      <rPr>
        <b/>
        <sz val="11"/>
        <rFont val="Arial"/>
        <family val="2"/>
      </rPr>
      <t>)</t>
    </r>
  </si>
  <si>
    <r>
      <rPr>
        <b/>
        <sz val="10"/>
        <rFont val="Arial"/>
        <family val="2"/>
      </rPr>
      <t xml:space="preserve">Ajusted </t>
    </r>
    <r>
      <rPr>
        <b/>
        <vertAlign val="subscript"/>
        <sz val="10"/>
        <rFont val="Arial"/>
        <family val="2"/>
      </rPr>
      <t xml:space="preserve"> 5</t>
    </r>
    <r>
      <rPr>
        <b/>
        <i/>
        <sz val="10"/>
        <rFont val="Arial"/>
        <family val="2"/>
      </rPr>
      <t>N</t>
    </r>
    <r>
      <rPr>
        <b/>
        <i/>
        <vertAlign val="subscript"/>
        <sz val="10"/>
        <rFont val="Arial"/>
        <family val="2"/>
      </rPr>
      <t>x</t>
    </r>
    <r>
      <rPr>
        <b/>
        <sz val="10"/>
        <rFont val="Arial"/>
        <family val="2"/>
      </rPr>
      <t>(</t>
    </r>
    <r>
      <rPr>
        <b/>
        <i/>
        <sz val="10"/>
        <rFont val="Arial"/>
        <family val="2"/>
      </rPr>
      <t>t</t>
    </r>
    <r>
      <rPr>
        <b/>
        <i/>
        <vertAlign val="subscript"/>
        <sz val="10"/>
        <rFont val="Arial"/>
        <family val="2"/>
      </rPr>
      <t>m</t>
    </r>
    <r>
      <rPr>
        <b/>
        <sz val="10"/>
        <rFont val="Arial"/>
        <family val="2"/>
      </rPr>
      <t>)</t>
    </r>
  </si>
  <si>
    <r>
      <rPr>
        <b/>
        <sz val="10"/>
        <rFont val="Arial"/>
        <family val="2"/>
      </rPr>
      <t>Adjusted</t>
    </r>
    <r>
      <rPr>
        <b/>
        <vertAlign val="subscript"/>
        <sz val="10"/>
        <rFont val="Arial"/>
        <family val="2"/>
      </rPr>
      <t xml:space="preserve"> 5</t>
    </r>
    <r>
      <rPr>
        <b/>
        <i/>
        <sz val="10"/>
        <rFont val="Arial"/>
        <family val="2"/>
      </rPr>
      <t>D</t>
    </r>
    <r>
      <rPr>
        <b/>
        <i/>
        <vertAlign val="subscript"/>
        <sz val="10"/>
        <rFont val="Arial"/>
        <family val="2"/>
      </rPr>
      <t>x</t>
    </r>
  </si>
  <si>
    <t>Adjusted PYL(x,5)</t>
  </si>
  <si>
    <r>
      <t xml:space="preserve">Adjusted </t>
    </r>
    <r>
      <rPr>
        <b/>
        <vertAlign val="subscript"/>
        <sz val="10"/>
        <rFont val="Arial"/>
        <family val="2"/>
      </rPr>
      <t>5</t>
    </r>
    <r>
      <rPr>
        <b/>
        <i/>
        <sz val="10"/>
        <rFont val="Arial"/>
        <family val="2"/>
      </rPr>
      <t>m</t>
    </r>
    <r>
      <rPr>
        <b/>
        <i/>
        <vertAlign val="subscript"/>
        <sz val="10"/>
        <rFont val="Arial"/>
        <family val="2"/>
      </rPr>
      <t>x</t>
    </r>
  </si>
  <si>
    <r>
      <rPr>
        <b/>
        <vertAlign val="subscript"/>
        <sz val="10"/>
        <rFont val="Arial"/>
        <family val="2"/>
      </rPr>
      <t>5</t>
    </r>
    <r>
      <rPr>
        <b/>
        <i/>
        <sz val="10"/>
        <rFont val="Arial"/>
        <family val="2"/>
      </rPr>
      <t>q</t>
    </r>
    <r>
      <rPr>
        <b/>
        <i/>
        <vertAlign val="subscript"/>
        <sz val="10"/>
        <rFont val="Arial"/>
        <family val="2"/>
      </rPr>
      <t>x</t>
    </r>
  </si>
  <si>
    <r>
      <rPr>
        <b/>
        <i/>
        <sz val="10"/>
        <rFont val="Arial"/>
        <family val="2"/>
      </rPr>
      <t>l</t>
    </r>
    <r>
      <rPr>
        <b/>
        <i/>
        <vertAlign val="subscript"/>
        <sz val="10"/>
        <rFont val="Arial"/>
        <family val="2"/>
      </rPr>
      <t>x</t>
    </r>
    <r>
      <rPr>
        <b/>
        <sz val="10"/>
        <rFont val="Arial"/>
        <family val="2"/>
      </rPr>
      <t>/</t>
    </r>
    <r>
      <rPr>
        <b/>
        <i/>
        <sz val="10"/>
        <rFont val="Arial"/>
        <family val="2"/>
      </rPr>
      <t>l</t>
    </r>
    <r>
      <rPr>
        <b/>
        <vertAlign val="subscript"/>
        <sz val="10"/>
        <rFont val="Arial"/>
        <family val="2"/>
      </rPr>
      <t>5</t>
    </r>
  </si>
  <si>
    <r>
      <t xml:space="preserve">Obs. </t>
    </r>
    <r>
      <rPr>
        <b/>
        <i/>
        <sz val="10"/>
        <rFont val="Arial"/>
        <family val="2"/>
      </rPr>
      <t>Y</t>
    </r>
    <r>
      <rPr>
        <b/>
        <sz val="10"/>
        <rFont val="Arial"/>
        <family val="2"/>
      </rPr>
      <t>(</t>
    </r>
    <r>
      <rPr>
        <b/>
        <i/>
        <sz val="10"/>
        <rFont val="Arial"/>
        <family val="2"/>
      </rPr>
      <t>x</t>
    </r>
    <r>
      <rPr>
        <b/>
        <sz val="10"/>
        <rFont val="Arial"/>
        <family val="2"/>
      </rPr>
      <t>)</t>
    </r>
  </si>
  <si>
    <r>
      <t xml:space="preserve">Cdn. </t>
    </r>
    <r>
      <rPr>
        <b/>
        <i/>
        <sz val="10"/>
        <rFont val="Arial"/>
        <family val="2"/>
      </rPr>
      <t>Ys</t>
    </r>
    <r>
      <rPr>
        <b/>
        <sz val="10"/>
        <rFont val="Arial"/>
        <family val="2"/>
      </rPr>
      <t>(</t>
    </r>
    <r>
      <rPr>
        <b/>
        <i/>
        <sz val="10"/>
        <rFont val="Arial"/>
        <family val="2"/>
      </rPr>
      <t>x</t>
    </r>
    <r>
      <rPr>
        <b/>
        <sz val="10"/>
        <rFont val="Arial"/>
        <family val="2"/>
      </rPr>
      <t>)</t>
    </r>
  </si>
  <si>
    <r>
      <t xml:space="preserve">Fitted </t>
    </r>
    <r>
      <rPr>
        <b/>
        <i/>
        <sz val="10"/>
        <rFont val="Arial"/>
        <family val="2"/>
      </rPr>
      <t>Y</t>
    </r>
    <r>
      <rPr>
        <b/>
        <sz val="10"/>
        <rFont val="Arial"/>
        <family val="2"/>
      </rPr>
      <t>(x)</t>
    </r>
  </si>
  <si>
    <r>
      <t xml:space="preserve">Fitted </t>
    </r>
    <r>
      <rPr>
        <b/>
        <i/>
        <sz val="10"/>
        <rFont val="Arial"/>
        <family val="2"/>
      </rPr>
      <t>l</t>
    </r>
    <r>
      <rPr>
        <b/>
        <sz val="10"/>
        <rFont val="Arial"/>
        <family val="2"/>
      </rPr>
      <t>(</t>
    </r>
    <r>
      <rPr>
        <b/>
        <i/>
        <sz val="10"/>
        <rFont val="Arial"/>
        <family val="2"/>
      </rPr>
      <t>x</t>
    </r>
    <r>
      <rPr>
        <b/>
        <sz val="10"/>
        <rFont val="Arial"/>
        <family val="2"/>
      </rPr>
      <t>)</t>
    </r>
  </si>
  <si>
    <r>
      <rPr>
        <b/>
        <i/>
        <sz val="10"/>
        <rFont val="Arial"/>
        <family val="2"/>
      </rPr>
      <t>T</t>
    </r>
    <r>
      <rPr>
        <b/>
        <sz val="10"/>
        <rFont val="Arial"/>
        <family val="2"/>
      </rPr>
      <t>(</t>
    </r>
    <r>
      <rPr>
        <b/>
        <i/>
        <sz val="10"/>
        <rFont val="Arial"/>
        <family val="2"/>
      </rPr>
      <t>x</t>
    </r>
    <r>
      <rPr>
        <b/>
        <sz val="10"/>
        <rFont val="Arial"/>
        <family val="2"/>
      </rPr>
      <t>)</t>
    </r>
  </si>
  <si>
    <r>
      <rPr>
        <b/>
        <i/>
        <sz val="10"/>
        <rFont val="Arial"/>
        <family val="2"/>
      </rPr>
      <t>e</t>
    </r>
    <r>
      <rPr>
        <b/>
        <sz val="10"/>
        <rFont val="Arial"/>
        <family val="2"/>
      </rPr>
      <t>(</t>
    </r>
    <r>
      <rPr>
        <b/>
        <i/>
        <sz val="10"/>
        <rFont val="Arial"/>
        <family val="2"/>
      </rPr>
      <t>x</t>
    </r>
    <r>
      <rPr>
        <b/>
        <sz val="10"/>
        <rFont val="Arial"/>
        <family val="2"/>
      </rPr>
      <t>)</t>
    </r>
  </si>
  <si>
    <r>
      <t xml:space="preserve">Smoothed </t>
    </r>
    <r>
      <rPr>
        <b/>
        <vertAlign val="subscript"/>
        <sz val="10"/>
        <rFont val="Arial"/>
        <family val="2"/>
      </rPr>
      <t>5</t>
    </r>
    <r>
      <rPr>
        <b/>
        <i/>
        <sz val="10"/>
        <rFont val="Arial"/>
        <family val="2"/>
      </rPr>
      <t>m</t>
    </r>
    <r>
      <rPr>
        <b/>
        <i/>
        <vertAlign val="subscript"/>
        <sz val="10"/>
        <rFont val="Arial"/>
        <family val="2"/>
      </rPr>
      <t>x</t>
    </r>
  </si>
  <si>
    <t xml:space="preserve">     0-4</t>
  </si>
  <si>
    <t xml:space="preserve">     5-9</t>
  </si>
  <si>
    <t xml:space="preserve">     10-14</t>
  </si>
  <si>
    <t xml:space="preserve">     15-19</t>
  </si>
  <si>
    <t xml:space="preserve">     20-24</t>
  </si>
  <si>
    <t xml:space="preserve">     25-29</t>
  </si>
  <si>
    <t xml:space="preserve">     30-34</t>
  </si>
  <si>
    <t xml:space="preserve">     35-39</t>
  </si>
  <si>
    <t xml:space="preserve">     40-44</t>
  </si>
  <si>
    <t xml:space="preserve">     45-49</t>
  </si>
  <si>
    <t xml:space="preserve">     50-54</t>
  </si>
  <si>
    <t xml:space="preserve">     55-59</t>
  </si>
  <si>
    <t xml:space="preserve">     60-64</t>
  </si>
  <si>
    <t>Input parameters</t>
  </si>
  <si>
    <t>Name of country/population:</t>
  </si>
  <si>
    <t>Sex:</t>
  </si>
  <si>
    <t>Select standard life table:</t>
  </si>
  <si>
    <t>Date of census (YYYY/MM/DD):</t>
  </si>
  <si>
    <t>Date of start of period of deaths:</t>
  </si>
  <si>
    <t>Date of end of period of deaths:</t>
  </si>
  <si>
    <t>This spreadsheet estimates the completeness of reporting of adult deaths over the inter-survey period. The spreadsheet can also be used to estimate completeness for reporting of deaths over a period where one has only one census, provided the population can be assumed to be stable. The spreadsheet also provides the means to smooth the adjusted age-specific death rates against a standard life table, provided one has access to a model life table that is appropriate (has a similar shape to that of the country being considered).</t>
  </si>
  <si>
    <t>Enter the name of the country or population in the cell to the right</t>
  </si>
  <si>
    <t>Enter the sex of the population in cell to the right</t>
  </si>
  <si>
    <t>Select the name of family of model life tables against which you want to assess the level and trend in mortality in this population using the drop down box to the right of this cell</t>
  </si>
  <si>
    <t>Enter the date of the census (YYYY/MM/DD) in the cell to the right</t>
  </si>
  <si>
    <t>Enter the date of the first day of the period over which the deaths are reported (YYYY/MM/DD) in the cell to the right</t>
  </si>
  <si>
    <t>Enter the date of the last day of the period over which the deaths are reported (YYYY/MM/DD) in the cell to the right</t>
  </si>
  <si>
    <r>
      <t>5</t>
    </r>
    <r>
      <rPr>
        <b/>
        <i/>
        <sz val="10"/>
        <rFont val="Arial"/>
        <family val="2"/>
      </rPr>
      <t>D</t>
    </r>
    <r>
      <rPr>
        <b/>
        <i/>
        <vertAlign val="subscript"/>
        <sz val="10"/>
        <rFont val="Arial"/>
        <family val="2"/>
      </rPr>
      <t>x</t>
    </r>
  </si>
  <si>
    <r>
      <t xml:space="preserve">Est </t>
    </r>
    <r>
      <rPr>
        <b/>
        <i/>
        <sz val="10"/>
        <rFont val="Arial"/>
        <family val="2"/>
      </rPr>
      <t>N</t>
    </r>
    <r>
      <rPr>
        <b/>
        <i/>
        <vertAlign val="subscript"/>
        <sz val="10"/>
        <rFont val="Arial"/>
        <family val="2"/>
      </rPr>
      <t>x</t>
    </r>
  </si>
  <si>
    <r>
      <t xml:space="preserve">Est </t>
    </r>
    <r>
      <rPr>
        <b/>
        <vertAlign val="subscript"/>
        <sz val="10"/>
        <rFont val="Arial"/>
        <family val="2"/>
      </rPr>
      <t>5</t>
    </r>
    <r>
      <rPr>
        <b/>
        <i/>
        <sz val="10"/>
        <rFont val="Arial"/>
        <family val="2"/>
      </rPr>
      <t>N</t>
    </r>
    <r>
      <rPr>
        <b/>
        <i/>
        <vertAlign val="subscript"/>
        <sz val="10"/>
        <rFont val="Arial"/>
        <family val="2"/>
      </rPr>
      <t>x</t>
    </r>
  </si>
  <si>
    <r>
      <t xml:space="preserve">Obs </t>
    </r>
    <r>
      <rPr>
        <b/>
        <vertAlign val="subscript"/>
        <sz val="10"/>
        <rFont val="Arial"/>
        <family val="2"/>
      </rPr>
      <t>5</t>
    </r>
    <r>
      <rPr>
        <b/>
        <i/>
        <sz val="10"/>
        <rFont val="Arial"/>
        <family val="2"/>
      </rPr>
      <t>N</t>
    </r>
    <r>
      <rPr>
        <b/>
        <i/>
        <vertAlign val="subscript"/>
        <sz val="10"/>
        <rFont val="Arial"/>
        <family val="2"/>
      </rPr>
      <t>x</t>
    </r>
  </si>
  <si>
    <r>
      <rPr>
        <b/>
        <i/>
        <sz val="10"/>
        <rFont val="Arial"/>
        <family val="2"/>
      </rPr>
      <t>c</t>
    </r>
    <r>
      <rPr>
        <b/>
        <sz val="10"/>
        <rFont val="Arial"/>
        <family val="2"/>
      </rPr>
      <t xml:space="preserve">: </t>
    </r>
    <r>
      <rPr>
        <b/>
        <vertAlign val="subscript"/>
        <sz val="10"/>
        <rFont val="Arial"/>
        <family val="2"/>
      </rPr>
      <t>5</t>
    </r>
    <r>
      <rPr>
        <b/>
        <i/>
        <sz val="10"/>
        <rFont val="Arial"/>
        <family val="2"/>
      </rPr>
      <t>N</t>
    </r>
    <r>
      <rPr>
        <b/>
        <i/>
        <vertAlign val="subscript"/>
        <sz val="10"/>
        <rFont val="Arial"/>
        <family val="2"/>
      </rPr>
      <t>x</t>
    </r>
  </si>
  <si>
    <r>
      <rPr>
        <b/>
        <i/>
        <sz val="10"/>
        <rFont val="Arial"/>
        <family val="2"/>
      </rPr>
      <t>c</t>
    </r>
    <r>
      <rPr>
        <b/>
        <sz val="10"/>
        <rFont val="Arial"/>
        <family val="2"/>
      </rPr>
      <t xml:space="preserve">: </t>
    </r>
    <r>
      <rPr>
        <b/>
        <vertAlign val="subscript"/>
        <sz val="10"/>
        <rFont val="Arial"/>
        <family val="2"/>
      </rPr>
      <t>A-x</t>
    </r>
    <r>
      <rPr>
        <b/>
        <i/>
        <sz val="10"/>
        <rFont val="Arial"/>
        <family val="2"/>
      </rPr>
      <t>N</t>
    </r>
    <r>
      <rPr>
        <b/>
        <i/>
        <vertAlign val="subscript"/>
        <sz val="10"/>
        <rFont val="Arial"/>
        <family val="2"/>
      </rPr>
      <t>x</t>
    </r>
  </si>
  <si>
    <r>
      <rPr>
        <i/>
        <sz val="10"/>
        <rFont val="Arial"/>
        <family val="2"/>
      </rPr>
      <t>A</t>
    </r>
    <r>
      <rPr>
        <sz val="10"/>
        <rFont val="Arial"/>
        <family val="2"/>
      </rPr>
      <t>+</t>
    </r>
  </si>
  <si>
    <t>Date of census:</t>
  </si>
  <si>
    <t xml:space="preserve">Period of deaths (yrs) = </t>
  </si>
  <si>
    <r>
      <t xml:space="preserve">Growth rate, </t>
    </r>
    <r>
      <rPr>
        <i/>
        <sz val="10"/>
        <rFont val="Arial"/>
        <family val="2"/>
      </rPr>
      <t>r</t>
    </r>
    <r>
      <rPr>
        <sz val="10"/>
        <rFont val="Arial"/>
        <family val="2"/>
      </rPr>
      <t xml:space="preserve"> =</t>
    </r>
  </si>
  <si>
    <r>
      <rPr>
        <b/>
        <i/>
        <sz val="10"/>
        <rFont val="Arial"/>
        <family val="2"/>
      </rPr>
      <t>C</t>
    </r>
    <r>
      <rPr>
        <sz val="10"/>
        <rFont val="Arial"/>
        <family val="2"/>
      </rPr>
      <t xml:space="preserve"> =</t>
    </r>
  </si>
  <si>
    <r>
      <t xml:space="preserve">Age range to determine </t>
    </r>
    <r>
      <rPr>
        <i/>
        <sz val="10"/>
        <rFont val="Arial"/>
        <family val="2"/>
      </rPr>
      <t>C</t>
    </r>
    <r>
      <rPr>
        <sz val="10"/>
        <rFont val="Arial"/>
        <family val="2"/>
      </rPr>
      <t>:</t>
    </r>
  </si>
  <si>
    <r>
      <t>5</t>
    </r>
    <r>
      <rPr>
        <b/>
        <i/>
        <sz val="10"/>
        <rFont val="Arial"/>
        <family val="2"/>
      </rPr>
      <t>N</t>
    </r>
    <r>
      <rPr>
        <b/>
        <i/>
        <vertAlign val="subscript"/>
        <sz val="10"/>
        <rFont val="Arial"/>
        <family val="2"/>
      </rPr>
      <t>x</t>
    </r>
    <r>
      <rPr>
        <b/>
        <sz val="10"/>
        <rFont val="Arial"/>
        <family val="2"/>
      </rPr>
      <t>(</t>
    </r>
    <r>
      <rPr>
        <b/>
        <i/>
        <sz val="10"/>
        <rFont val="Arial"/>
        <family val="2"/>
      </rPr>
      <t>t</t>
    </r>
    <r>
      <rPr>
        <b/>
        <i/>
        <vertAlign val="subscript"/>
        <sz val="10"/>
        <rFont val="Arial"/>
        <family val="2"/>
      </rPr>
      <t>c</t>
    </r>
    <r>
      <rPr>
        <b/>
        <sz val="10"/>
        <rFont val="Arial"/>
        <family val="2"/>
      </rPr>
      <t>)</t>
    </r>
  </si>
  <si>
    <r>
      <t xml:space="preserve">Remove all numbers from cells </t>
    </r>
    <r>
      <rPr>
        <b/>
        <sz val="12"/>
        <rFont val="Arial"/>
        <family val="2"/>
      </rPr>
      <t>C8:D25</t>
    </r>
    <r>
      <rPr>
        <sz val="12"/>
        <rFont val="Arial"/>
        <family val="2"/>
      </rPr>
      <t xml:space="preserve"> in the </t>
    </r>
    <r>
      <rPr>
        <b/>
        <i/>
        <sz val="12"/>
        <rFont val="Arial"/>
        <family val="2"/>
      </rPr>
      <t>Method</t>
    </r>
    <r>
      <rPr>
        <sz val="12"/>
        <rFont val="Arial"/>
        <family val="2"/>
      </rPr>
      <t xml:space="preserve"> spreadsheet.</t>
    </r>
  </si>
  <si>
    <r>
      <t xml:space="preserve">Ensure that all data has the same age at open interval. Paste estimates of the population numbers into cells </t>
    </r>
    <r>
      <rPr>
        <b/>
        <sz val="12"/>
        <rFont val="Arial"/>
        <family val="2"/>
      </rPr>
      <t xml:space="preserve">C8:C25 </t>
    </r>
    <r>
      <rPr>
        <sz val="12"/>
        <rFont val="Arial"/>
        <family val="2"/>
      </rPr>
      <t xml:space="preserve">and numbers of deaths into cells </t>
    </r>
    <r>
      <rPr>
        <b/>
        <sz val="12"/>
        <rFont val="Arial"/>
        <family val="2"/>
      </rPr>
      <t>D8:D25</t>
    </r>
    <r>
      <rPr>
        <sz val="12"/>
        <rFont val="Arial"/>
        <family val="2"/>
      </rPr>
      <t xml:space="preserve"> in the </t>
    </r>
    <r>
      <rPr>
        <b/>
        <i/>
        <sz val="12"/>
        <rFont val="Arial"/>
        <family val="2"/>
      </rPr>
      <t>Method</t>
    </r>
    <r>
      <rPr>
        <sz val="12"/>
        <rFont val="Arial"/>
        <family val="2"/>
      </rPr>
      <t xml:space="preserve"> spreadsheet.</t>
    </r>
  </si>
  <si>
    <r>
      <t xml:space="preserve">Set cell </t>
    </r>
    <r>
      <rPr>
        <b/>
        <sz val="12"/>
        <rFont val="Arial"/>
        <family val="2"/>
      </rPr>
      <t>G3</t>
    </r>
    <r>
      <rPr>
        <sz val="12"/>
        <rFont val="Arial"/>
        <family val="2"/>
      </rPr>
      <t xml:space="preserve"> in the </t>
    </r>
    <r>
      <rPr>
        <b/>
        <i/>
        <sz val="12"/>
        <rFont val="Arial"/>
        <family val="2"/>
      </rPr>
      <t>Method</t>
    </r>
    <r>
      <rPr>
        <sz val="12"/>
        <rFont val="Arial"/>
        <family val="2"/>
      </rPr>
      <t xml:space="preserve"> spreadsheet to 1 less than the age at the start of the open interval</t>
    </r>
  </si>
  <si>
    <r>
      <t xml:space="preserve">Determine life expectancy at age </t>
    </r>
    <r>
      <rPr>
        <i/>
        <sz val="12"/>
        <rFont val="Arial"/>
        <family val="2"/>
      </rPr>
      <t>A</t>
    </r>
    <r>
      <rPr>
        <sz val="12"/>
        <rFont val="Arial"/>
        <family val="2"/>
      </rPr>
      <t xml:space="preserve"> (the age of the open interval) and for five-yearly ages below this down to age 65 and paste these into cells </t>
    </r>
    <r>
      <rPr>
        <b/>
        <sz val="12"/>
        <rFont val="Arial"/>
        <family val="2"/>
      </rPr>
      <t>Q23:Q27</t>
    </r>
    <r>
      <rPr>
        <sz val="12"/>
        <rFont val="Arial"/>
        <family val="2"/>
      </rPr>
      <t xml:space="preserve"> in the </t>
    </r>
    <r>
      <rPr>
        <b/>
        <i/>
        <sz val="12"/>
        <rFont val="Arial"/>
        <family val="2"/>
      </rPr>
      <t>Method</t>
    </r>
    <r>
      <rPr>
        <sz val="12"/>
        <rFont val="Arial"/>
        <family val="2"/>
      </rPr>
      <t xml:space="preserve"> spreadsheet. Thes values could come from the following sources:</t>
    </r>
  </si>
  <si>
    <r>
      <t xml:space="preserve">(c) Otherwise from the estimates provided in cells </t>
    </r>
    <r>
      <rPr>
        <b/>
        <sz val="12"/>
        <rFont val="Arial"/>
        <family val="2"/>
      </rPr>
      <t>O20:O24</t>
    </r>
    <r>
      <rPr>
        <sz val="12"/>
        <rFont val="Arial"/>
        <family val="2"/>
      </rPr>
      <t xml:space="preserve"> in the </t>
    </r>
    <r>
      <rPr>
        <b/>
        <i/>
        <sz val="12"/>
        <rFont val="Arial"/>
        <family val="2"/>
      </rPr>
      <t>Life expectancies</t>
    </r>
    <r>
      <rPr>
        <sz val="12"/>
        <rFont val="Arial"/>
        <family val="2"/>
      </rPr>
      <t xml:space="preserve"> spreadsheet. (Since these estimates are derived from the results, one should replace the estimates after producing the first estimate of completeness and re-estimate the completeness using the updated life expectancies.)</t>
    </r>
  </si>
  <si>
    <r>
      <t xml:space="preserve">Inspect the diagnostic plot and decide on the age interval over which the flatness of the line is to be determined (cells </t>
    </r>
    <r>
      <rPr>
        <b/>
        <sz val="12"/>
        <rFont val="Arial"/>
        <family val="2"/>
      </rPr>
      <t>G2</t>
    </r>
    <r>
      <rPr>
        <sz val="12"/>
        <rFont val="Arial"/>
        <family val="2"/>
      </rPr>
      <t xml:space="preserve"> &amp; </t>
    </r>
    <r>
      <rPr>
        <b/>
        <sz val="12"/>
        <rFont val="Arial"/>
        <family val="2"/>
      </rPr>
      <t>G3</t>
    </r>
    <r>
      <rPr>
        <sz val="12"/>
        <rFont val="Arial"/>
        <family val="2"/>
      </rPr>
      <t xml:space="preserve">) and which is to be used to estimate completeness (cells </t>
    </r>
    <r>
      <rPr>
        <b/>
        <sz val="12"/>
        <rFont val="Arial"/>
        <family val="2"/>
      </rPr>
      <t>N27</t>
    </r>
    <r>
      <rPr>
        <sz val="12"/>
        <rFont val="Arial"/>
        <family val="2"/>
      </rPr>
      <t xml:space="preserve"> &amp; </t>
    </r>
    <r>
      <rPr>
        <b/>
        <sz val="12"/>
        <rFont val="Arial"/>
        <family val="2"/>
      </rPr>
      <t>N28</t>
    </r>
    <r>
      <rPr>
        <sz val="12"/>
        <rFont val="Arial"/>
        <family val="2"/>
      </rPr>
      <t xml:space="preserve">) in the </t>
    </r>
    <r>
      <rPr>
        <b/>
        <i/>
        <sz val="12"/>
        <rFont val="Arial"/>
        <family val="2"/>
      </rPr>
      <t>Method</t>
    </r>
    <r>
      <rPr>
        <sz val="12"/>
        <rFont val="Arial"/>
        <family val="2"/>
      </rPr>
      <t xml:space="preserve"> spreadsheet.</t>
    </r>
  </si>
  <si>
    <r>
      <t xml:space="preserve">The estimates of mortality rates adjusted for incompleteness of registration and relative undercount appear in cells </t>
    </r>
    <r>
      <rPr>
        <b/>
        <sz val="12"/>
        <rFont val="Arial"/>
        <family val="2"/>
      </rPr>
      <t>E8:E24</t>
    </r>
    <r>
      <rPr>
        <sz val="12"/>
        <rFont val="Arial"/>
        <family val="2"/>
      </rPr>
      <t xml:space="preserve"> in the </t>
    </r>
    <r>
      <rPr>
        <b/>
        <i/>
        <sz val="12"/>
        <rFont val="Arial"/>
        <family val="2"/>
      </rPr>
      <t>Life expectancies</t>
    </r>
    <r>
      <rPr>
        <sz val="12"/>
        <rFont val="Arial"/>
        <family val="2"/>
      </rPr>
      <t xml:space="preserve"> spreadsheet.</t>
    </r>
  </si>
  <si>
    <r>
      <t xml:space="preserve">Smoothed mortality rates appear in cells </t>
    </r>
    <r>
      <rPr>
        <b/>
        <sz val="12"/>
        <rFont val="Arial"/>
        <family val="2"/>
      </rPr>
      <t xml:space="preserve">P8:P25 </t>
    </r>
    <r>
      <rPr>
        <sz val="12"/>
        <rFont val="Arial"/>
        <family val="2"/>
      </rPr>
      <t xml:space="preserve"> of the </t>
    </r>
    <r>
      <rPr>
        <b/>
        <i/>
        <sz val="12"/>
        <rFont val="Arial"/>
        <family val="2"/>
      </rPr>
      <t>Life expectancies</t>
    </r>
    <r>
      <rPr>
        <sz val="12"/>
        <rFont val="Arial"/>
        <family val="2"/>
      </rPr>
      <t xml:space="preserve"> spreadsheet</t>
    </r>
  </si>
  <si>
    <r>
      <t xml:space="preserve">Estimate growth rate (cell </t>
    </r>
    <r>
      <rPr>
        <b/>
        <sz val="12"/>
        <rFont val="Arial"/>
        <family val="2"/>
      </rPr>
      <t>J2</t>
    </r>
    <r>
      <rPr>
        <sz val="12"/>
        <rFont val="Arial"/>
        <family val="2"/>
      </rPr>
      <t xml:space="preserve">) using Data, Solver in the </t>
    </r>
    <r>
      <rPr>
        <b/>
        <i/>
        <sz val="12"/>
        <rFont val="Arial"/>
        <family val="2"/>
      </rPr>
      <t>Method</t>
    </r>
    <r>
      <rPr>
        <sz val="12"/>
        <rFont val="Arial"/>
        <family val="2"/>
      </rPr>
      <t xml:space="preserve"> spreadsheet.</t>
    </r>
  </si>
  <si>
    <t>http://demographicestimation.iussp.org/content/preston-coale-method</t>
  </si>
  <si>
    <r>
      <t xml:space="preserve">(b) If the population is not significantly affected by AIDS deaths, then from cells </t>
    </r>
    <r>
      <rPr>
        <b/>
        <sz val="12"/>
        <rFont val="Arial"/>
        <family val="2"/>
      </rPr>
      <t>B31:B35</t>
    </r>
    <r>
      <rPr>
        <sz val="12"/>
        <rFont val="Arial"/>
        <family val="2"/>
      </rPr>
      <t xml:space="preserve"> in the </t>
    </r>
    <r>
      <rPr>
        <b/>
        <i/>
        <sz val="12"/>
        <rFont val="Arial"/>
        <family val="2"/>
      </rPr>
      <t>Life expectancies</t>
    </r>
    <r>
      <rPr>
        <sz val="12"/>
        <rFont val="Arial"/>
        <family val="2"/>
      </rPr>
      <t xml:space="preserve"> spreadsheet.</t>
    </r>
  </si>
  <si>
    <r>
      <t xml:space="preserve">Set the growth rate (cell </t>
    </r>
    <r>
      <rPr>
        <b/>
        <sz val="12"/>
        <rFont val="Arial"/>
        <family val="2"/>
      </rPr>
      <t>J2</t>
    </r>
    <r>
      <rPr>
        <sz val="12"/>
        <rFont val="Arial"/>
        <family val="2"/>
      </rPr>
      <t xml:space="preserve">) equal to the intercept from the straight line fitted to the same data using the Brass Growth Balance method or some other initial estimate in the </t>
    </r>
    <r>
      <rPr>
        <b/>
        <i/>
        <sz val="12"/>
        <rFont val="Arial"/>
        <family val="2"/>
      </rPr>
      <t>Method</t>
    </r>
    <r>
      <rPr>
        <sz val="12"/>
        <rFont val="Arial"/>
        <family val="2"/>
      </rPr>
      <t xml:space="preserve"> spreadsheet.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</si>
</sst>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4">
    <numFmt numFmtId="164" formatCode="_ * #,##0.00_ ;_ * \-#,##0.00_ ;_ * &quot;-&quot;??_ ;_ @_ "/>
    <numFmt numFmtId="165" formatCode="0.00000"/>
    <numFmt numFmtId="166" formatCode="0.0000"/>
    <numFmt numFmtId="167" formatCode="#,##0.0000_);\(#,##0.0000\)"/>
    <numFmt numFmtId="168" formatCode="0.00_)"/>
    <numFmt numFmtId="169" formatCode="0.0000_)"/>
    <numFmt numFmtId="170" formatCode="0_)"/>
    <numFmt numFmtId="171" formatCode="_ * #,##0_ ;_ * \-#,##0_ ;_ * &quot;-&quot;??_ ;_ @_ "/>
    <numFmt numFmtId="172" formatCode="0.000"/>
    <numFmt numFmtId="173" formatCode="General_)"/>
    <numFmt numFmtId="174" formatCode="0.000_)"/>
    <numFmt numFmtId="175" formatCode="0.0_)"/>
    <numFmt numFmtId="176" formatCode="yyyy/mm/dd;@"/>
    <numFmt numFmtId="177" formatCode="0.0%"/>
  </numFmts>
  <fonts count="36">
    <font>
      <sz val="10"/>
      <name val="Arial"/>
    </font>
    <font>
      <sz val="10"/>
      <color theme="0" tint="-0.499984740745262"/>
      <name val="Arial"/>
      <family val="2"/>
    </font>
    <font>
      <sz val="11"/>
      <name val="Times New Roman"/>
      <family val="1"/>
    </font>
    <font>
      <sz val="10"/>
      <color indexed="10"/>
      <name val="Arial"/>
      <family val="2"/>
    </font>
    <font>
      <sz val="10"/>
      <name val="Arial"/>
      <family val="2"/>
    </font>
    <font>
      <sz val="10"/>
      <name val="Arial"/>
      <family val="2"/>
    </font>
    <font>
      <sz val="12"/>
      <name val="Arial Narrow"/>
      <family val="2"/>
    </font>
    <font>
      <b/>
      <sz val="12"/>
      <name val="Arial Narrow"/>
      <family val="2"/>
    </font>
    <font>
      <b/>
      <i/>
      <sz val="12"/>
      <name val="Arial Narrow"/>
      <family val="2"/>
    </font>
    <font>
      <b/>
      <vertAlign val="subscript"/>
      <sz val="12"/>
      <name val="Arial Narrow"/>
      <family val="2"/>
    </font>
    <font>
      <i/>
      <sz val="10"/>
      <name val="Arial"/>
      <family val="2"/>
    </font>
    <font>
      <b/>
      <sz val="12"/>
      <color indexed="81"/>
      <name val="Tahoma"/>
      <family val="2"/>
    </font>
    <font>
      <u/>
      <sz val="10"/>
      <color theme="10"/>
      <name val="Arial"/>
      <family val="2"/>
    </font>
    <font>
      <vertAlign val="subscript"/>
      <sz val="10"/>
      <color theme="1"/>
      <name val="Arial"/>
      <family val="2"/>
    </font>
    <font>
      <i/>
      <sz val="10"/>
      <color theme="1"/>
      <name val="Arial"/>
      <family val="2"/>
    </font>
    <font>
      <b/>
      <sz val="12"/>
      <name val="Arial"/>
      <family val="2"/>
    </font>
    <font>
      <sz val="12"/>
      <name val="Arial"/>
      <family val="2"/>
    </font>
    <font>
      <u/>
      <sz val="12"/>
      <color theme="10"/>
      <name val="Arial"/>
      <family val="2"/>
    </font>
    <font>
      <b/>
      <i/>
      <sz val="12"/>
      <name val="Arial"/>
      <family val="2"/>
    </font>
    <font>
      <sz val="10"/>
      <name val="Arial"/>
      <family val="2"/>
    </font>
    <font>
      <sz val="12"/>
      <name val="Courier"/>
      <family val="3"/>
    </font>
    <font>
      <b/>
      <vertAlign val="subscript"/>
      <sz val="12"/>
      <name val="Arial"/>
      <family val="2"/>
    </font>
    <font>
      <b/>
      <sz val="11"/>
      <name val="Arial"/>
      <family val="2"/>
    </font>
    <font>
      <b/>
      <i/>
      <sz val="11"/>
      <name val="Arial"/>
      <family val="2"/>
    </font>
    <font>
      <b/>
      <vertAlign val="subscript"/>
      <sz val="11"/>
      <name val="Arial"/>
      <family val="2"/>
    </font>
    <font>
      <sz val="11"/>
      <color indexed="8"/>
      <name val="Calibri"/>
      <family val="2"/>
    </font>
    <font>
      <sz val="8"/>
      <name val="SAS Monospace"/>
    </font>
    <font>
      <sz val="10"/>
      <name val="Courier"/>
      <family val="3"/>
    </font>
    <font>
      <b/>
      <sz val="10"/>
      <color rgb="FFFF0000"/>
      <name val="Arial"/>
      <family val="2"/>
    </font>
    <font>
      <sz val="10"/>
      <color rgb="FFFF0000"/>
      <name val="Arial"/>
      <family val="2"/>
    </font>
    <font>
      <b/>
      <i/>
      <sz val="10"/>
      <name val="Arial"/>
      <family val="2"/>
    </font>
    <font>
      <b/>
      <vertAlign val="subscript"/>
      <sz val="10"/>
      <name val="Arial"/>
      <family val="2"/>
    </font>
    <font>
      <b/>
      <sz val="10"/>
      <name val="Arial"/>
      <family val="2"/>
    </font>
    <font>
      <b/>
      <i/>
      <vertAlign val="subscript"/>
      <sz val="10"/>
      <name val="Arial"/>
      <family val="2"/>
    </font>
    <font>
      <b/>
      <sz val="10"/>
      <color theme="1"/>
      <name val="Arial"/>
      <family val="2"/>
    </font>
    <font>
      <i/>
      <sz val="12"/>
      <name val="Arial"/>
      <family val="2"/>
    </font>
  </fonts>
  <fills count="9">
    <fill>
      <patternFill patternType="none"/>
    </fill>
    <fill>
      <patternFill patternType="gray125"/>
    </fill>
    <fill>
      <patternFill patternType="solid">
        <fgColor indexed="43"/>
        <bgColor indexed="64"/>
      </patternFill>
    </fill>
    <fill>
      <patternFill patternType="solid">
        <fgColor rgb="FFFFEB9C"/>
        <bgColor indexed="64"/>
      </patternFill>
    </fill>
    <fill>
      <patternFill patternType="solid">
        <fgColor theme="0"/>
        <bgColor indexed="64"/>
      </patternFill>
    </fill>
    <fill>
      <patternFill patternType="solid">
        <fgColor rgb="FFC6EFCE"/>
        <bgColor indexed="64"/>
      </patternFill>
    </fill>
    <fill>
      <patternFill patternType="solid">
        <fgColor theme="6" tint="0.39994506668294322"/>
        <bgColor indexed="64"/>
      </patternFill>
    </fill>
    <fill>
      <patternFill patternType="solid">
        <fgColor rgb="FFFFEB9B"/>
        <bgColor indexed="64"/>
      </patternFill>
    </fill>
    <fill>
      <patternFill patternType="solid">
        <fgColor theme="6" tint="0.39997558519241921"/>
        <bgColor indexed="64"/>
      </patternFill>
    </fill>
  </fills>
  <borders count="13">
    <border>
      <left/>
      <right/>
      <top/>
      <bottom/>
      <diagonal/>
    </border>
    <border>
      <left/>
      <right/>
      <top style="thin">
        <color indexed="64"/>
      </top>
      <bottom style="thin">
        <color indexed="64"/>
      </bottom>
      <diagonal/>
    </border>
    <border>
      <left/>
      <right/>
      <top/>
      <bottom style="thin">
        <color indexed="64"/>
      </bottom>
      <diagonal/>
    </border>
    <border>
      <left style="thin">
        <color theme="9" tint="-0.249977111117893"/>
      </left>
      <right/>
      <top/>
      <bottom/>
      <diagonal/>
    </border>
    <border>
      <left style="medium">
        <color indexed="64"/>
      </left>
      <right/>
      <top/>
      <bottom/>
      <diagonal/>
    </border>
    <border>
      <left/>
      <right/>
      <top style="thin">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auto="1"/>
      </left>
      <right/>
      <top/>
      <bottom style="medium">
        <color auto="1"/>
      </bottom>
      <diagonal/>
    </border>
    <border>
      <left/>
      <right style="medium">
        <color auto="1"/>
      </right>
      <top/>
      <bottom style="medium">
        <color auto="1"/>
      </bottom>
      <diagonal/>
    </border>
  </borders>
  <cellStyleXfs count="15">
    <xf numFmtId="0" fontId="0" fillId="0" borderId="0"/>
    <xf numFmtId="0" fontId="4" fillId="0" borderId="0"/>
    <xf numFmtId="0" fontId="4" fillId="0" borderId="0"/>
    <xf numFmtId="164" fontId="5" fillId="0" borderId="0" applyFont="0" applyFill="0" applyBorder="0" applyAlignment="0" applyProtection="0"/>
    <xf numFmtId="0" fontId="12" fillId="0" borderId="0" applyNumberFormat="0" applyFill="0" applyBorder="0" applyAlignment="0" applyProtection="0">
      <alignment vertical="top"/>
      <protection locked="0"/>
    </xf>
    <xf numFmtId="0" fontId="4" fillId="0" borderId="0"/>
    <xf numFmtId="9" fontId="19" fillId="0" borderId="0" applyFont="0" applyFill="0" applyBorder="0" applyAlignment="0" applyProtection="0"/>
    <xf numFmtId="173" fontId="20" fillId="0" borderId="0"/>
    <xf numFmtId="164" fontId="25" fillId="0" borderId="0" applyFont="0" applyFill="0" applyBorder="0" applyAlignment="0" applyProtection="0"/>
    <xf numFmtId="0" fontId="26" fillId="0" borderId="0"/>
    <xf numFmtId="169" fontId="27" fillId="0" borderId="0"/>
    <xf numFmtId="0" fontId="4" fillId="0" borderId="0"/>
    <xf numFmtId="0" fontId="4" fillId="0" borderId="0"/>
    <xf numFmtId="169" fontId="27" fillId="0" borderId="0"/>
    <xf numFmtId="164" fontId="4" fillId="0" borderId="0" applyFont="0" applyFill="0" applyBorder="0" applyAlignment="0" applyProtection="0"/>
  </cellStyleXfs>
  <cellXfs count="140">
    <xf numFmtId="0" fontId="0" fillId="0" borderId="0" xfId="0"/>
    <xf numFmtId="0" fontId="1" fillId="0" borderId="0" xfId="0" applyFont="1"/>
    <xf numFmtId="1" fontId="2" fillId="0" borderId="0" xfId="0" applyNumberFormat="1" applyFont="1"/>
    <xf numFmtId="166" fontId="2" fillId="0" borderId="0" xfId="0" applyNumberFormat="1" applyFont="1"/>
    <xf numFmtId="0" fontId="3" fillId="0" borderId="0" xfId="0" applyFont="1"/>
    <xf numFmtId="2" fontId="2" fillId="0" borderId="0" xfId="0" applyNumberFormat="1" applyFont="1"/>
    <xf numFmtId="1" fontId="2" fillId="0" borderId="0" xfId="0" applyNumberFormat="1" applyFont="1" applyAlignment="1" applyProtection="1">
      <alignment horizontal="left"/>
    </xf>
    <xf numFmtId="0" fontId="6" fillId="0" borderId="0" xfId="0" applyFont="1"/>
    <xf numFmtId="0" fontId="4" fillId="0" borderId="0" xfId="0" applyFont="1"/>
    <xf numFmtId="2" fontId="4" fillId="0" borderId="0" xfId="0" applyNumberFormat="1" applyFont="1"/>
    <xf numFmtId="1" fontId="4" fillId="0" borderId="0" xfId="0" applyNumberFormat="1" applyFont="1"/>
    <xf numFmtId="2" fontId="0" fillId="0" borderId="0" xfId="0" applyNumberFormat="1"/>
    <xf numFmtId="0" fontId="4" fillId="0" borderId="0" xfId="0" applyFont="1" applyAlignment="1">
      <alignment horizontal="center"/>
    </xf>
    <xf numFmtId="0" fontId="0" fillId="0" borderId="0" xfId="0" applyAlignment="1">
      <alignment horizontal="center"/>
    </xf>
    <xf numFmtId="0" fontId="0" fillId="2" borderId="0" xfId="0" applyFill="1"/>
    <xf numFmtId="0" fontId="4" fillId="2" borderId="0" xfId="0" applyFont="1" applyFill="1"/>
    <xf numFmtId="172" fontId="4" fillId="2" borderId="0" xfId="0" applyNumberFormat="1" applyFont="1" applyFill="1"/>
    <xf numFmtId="0" fontId="4" fillId="0" borderId="0" xfId="0" applyFont="1" applyAlignment="1">
      <alignment horizontal="right"/>
    </xf>
    <xf numFmtId="0" fontId="10" fillId="0" borderId="0" xfId="0" applyFont="1" applyAlignment="1">
      <alignment horizontal="right"/>
    </xf>
    <xf numFmtId="0" fontId="0" fillId="0" borderId="0" xfId="0"/>
    <xf numFmtId="173" fontId="15" fillId="0" borderId="0" xfId="7" applyFont="1"/>
    <xf numFmtId="173" fontId="16" fillId="0" borderId="0" xfId="7" applyFont="1"/>
    <xf numFmtId="173" fontId="7" fillId="0" borderId="0" xfId="7" applyFont="1" applyAlignment="1">
      <alignment horizontal="center"/>
    </xf>
    <xf numFmtId="173" fontId="15" fillId="0" borderId="0" xfId="7" applyFont="1" applyAlignment="1">
      <alignment horizontal="center"/>
    </xf>
    <xf numFmtId="173" fontId="15" fillId="4" borderId="1" xfId="7" applyFont="1" applyFill="1" applyBorder="1" applyAlignment="1" applyProtection="1">
      <alignment horizontal="center"/>
      <protection hidden="1"/>
    </xf>
    <xf numFmtId="173" fontId="15" fillId="4" borderId="1" xfId="7" applyFont="1" applyFill="1" applyBorder="1" applyAlignment="1" applyProtection="1">
      <alignment horizontal="center" wrapText="1"/>
      <protection hidden="1"/>
    </xf>
    <xf numFmtId="1" fontId="4" fillId="4" borderId="0" xfId="7" applyNumberFormat="1" applyFont="1" applyFill="1" applyBorder="1" applyAlignment="1" applyProtection="1">
      <alignment horizontal="center"/>
      <protection hidden="1"/>
    </xf>
    <xf numFmtId="169" fontId="4" fillId="4" borderId="0" xfId="7" applyNumberFormat="1" applyFont="1" applyFill="1" applyBorder="1" applyProtection="1">
      <protection hidden="1"/>
    </xf>
    <xf numFmtId="169" fontId="4" fillId="4" borderId="5" xfId="7" applyNumberFormat="1" applyFont="1" applyFill="1" applyBorder="1" applyProtection="1">
      <protection hidden="1"/>
    </xf>
    <xf numFmtId="174" fontId="4" fillId="5" borderId="0" xfId="7" applyNumberFormat="1" applyFont="1" applyFill="1" applyAlignment="1" applyProtection="1">
      <alignment horizontal="right"/>
      <protection locked="0"/>
    </xf>
    <xf numFmtId="1" fontId="4" fillId="4" borderId="2" xfId="7" applyNumberFormat="1" applyFont="1" applyFill="1" applyBorder="1" applyAlignment="1" applyProtection="1">
      <alignment horizontal="center"/>
      <protection hidden="1"/>
    </xf>
    <xf numFmtId="169" fontId="4" fillId="4" borderId="2" xfId="7" applyNumberFormat="1" applyFont="1" applyFill="1" applyBorder="1" applyProtection="1">
      <protection hidden="1"/>
    </xf>
    <xf numFmtId="174" fontId="4" fillId="5" borderId="2" xfId="7" applyNumberFormat="1" applyFont="1" applyFill="1" applyBorder="1" applyAlignment="1" applyProtection="1">
      <alignment horizontal="right"/>
      <protection locked="0"/>
    </xf>
    <xf numFmtId="173" fontId="15" fillId="0" borderId="0" xfId="7" applyFont="1" applyAlignment="1" applyProtection="1">
      <alignment horizontal="left"/>
    </xf>
    <xf numFmtId="165" fontId="16" fillId="0" borderId="0" xfId="7" applyNumberFormat="1" applyFont="1"/>
    <xf numFmtId="173" fontId="4" fillId="0" borderId="0" xfId="7" applyFont="1"/>
    <xf numFmtId="173" fontId="22" fillId="4" borderId="5" xfId="7" applyFont="1" applyFill="1" applyBorder="1"/>
    <xf numFmtId="173" fontId="22" fillId="4" borderId="5" xfId="7" applyFont="1" applyFill="1" applyBorder="1" applyAlignment="1">
      <alignment horizontal="center"/>
    </xf>
    <xf numFmtId="173" fontId="22" fillId="4" borderId="0" xfId="7" applyFont="1" applyFill="1" applyBorder="1" applyAlignment="1" applyProtection="1">
      <alignment horizontal="center"/>
    </xf>
    <xf numFmtId="173" fontId="22" fillId="4" borderId="0" xfId="7" applyFont="1" applyFill="1" applyBorder="1" applyAlignment="1">
      <alignment horizontal="center"/>
    </xf>
    <xf numFmtId="173" fontId="16" fillId="4" borderId="2" xfId="7" applyFont="1" applyFill="1" applyBorder="1"/>
    <xf numFmtId="169" fontId="22" fillId="4" borderId="0" xfId="7" applyNumberFormat="1" applyFont="1" applyFill="1" applyBorder="1" applyAlignment="1" applyProtection="1">
      <alignment horizontal="center"/>
    </xf>
    <xf numFmtId="169" fontId="4" fillId="4" borderId="5" xfId="7" applyNumberFormat="1" applyFont="1" applyFill="1" applyBorder="1" applyProtection="1"/>
    <xf numFmtId="169" fontId="4" fillId="4" borderId="0" xfId="7" applyNumberFormat="1" applyFont="1" applyFill="1" applyBorder="1" applyProtection="1"/>
    <xf numFmtId="169" fontId="4" fillId="4" borderId="2" xfId="7" applyNumberFormat="1" applyFont="1" applyFill="1" applyBorder="1" applyProtection="1"/>
    <xf numFmtId="0" fontId="4" fillId="0" borderId="0" xfId="2" applyFont="1"/>
    <xf numFmtId="0" fontId="4" fillId="0" borderId="0" xfId="2" applyFont="1" applyBorder="1"/>
    <xf numFmtId="0" fontId="28" fillId="0" borderId="0" xfId="2" applyFont="1"/>
    <xf numFmtId="0" fontId="29" fillId="0" borderId="0" xfId="2" applyFont="1"/>
    <xf numFmtId="0" fontId="4" fillId="0" borderId="0" xfId="2"/>
    <xf numFmtId="0" fontId="4" fillId="6" borderId="0" xfId="2" applyFont="1" applyFill="1"/>
    <xf numFmtId="167" fontId="4" fillId="0" borderId="0" xfId="2" applyNumberFormat="1" applyFont="1" applyAlignment="1" applyProtection="1">
      <alignment horizontal="left"/>
    </xf>
    <xf numFmtId="169" fontId="4" fillId="0" borderId="0" xfId="2" applyNumberFormat="1" applyFont="1" applyProtection="1"/>
    <xf numFmtId="169" fontId="29" fillId="0" borderId="0" xfId="2" applyNumberFormat="1" applyFont="1"/>
    <xf numFmtId="1" fontId="30" fillId="0" borderId="1" xfId="2" applyNumberFormat="1" applyFont="1" applyBorder="1" applyAlignment="1" applyProtection="1">
      <alignment horizontal="center"/>
    </xf>
    <xf numFmtId="1" fontId="31" fillId="0" borderId="1" xfId="2" applyNumberFormat="1" applyFont="1" applyBorder="1" applyAlignment="1" applyProtection="1">
      <alignment horizontal="center" wrapText="1"/>
    </xf>
    <xf numFmtId="0" fontId="32" fillId="0" borderId="1" xfId="2" applyFont="1" applyBorder="1" applyAlignment="1">
      <alignment horizontal="center" wrapText="1"/>
    </xf>
    <xf numFmtId="0" fontId="30" fillId="0" borderId="1" xfId="2" applyFont="1" applyBorder="1" applyAlignment="1">
      <alignment horizontal="center"/>
    </xf>
    <xf numFmtId="0" fontId="32" fillId="0" borderId="1" xfId="2" applyFont="1" applyBorder="1" applyAlignment="1">
      <alignment horizontal="center"/>
    </xf>
    <xf numFmtId="167" fontId="32" fillId="0" borderId="1" xfId="2" applyNumberFormat="1" applyFont="1" applyBorder="1" applyAlignment="1" applyProtection="1">
      <alignment horizontal="center"/>
    </xf>
    <xf numFmtId="167" fontId="32" fillId="0" borderId="1" xfId="2" applyNumberFormat="1" applyFont="1" applyBorder="1" applyAlignment="1" applyProtection="1">
      <alignment horizontal="center" wrapText="1"/>
    </xf>
    <xf numFmtId="0" fontId="32" fillId="0" borderId="1" xfId="2" applyFont="1" applyBorder="1" applyAlignment="1" applyProtection="1">
      <alignment horizontal="center"/>
    </xf>
    <xf numFmtId="170" fontId="32" fillId="0" borderId="1" xfId="2" applyNumberFormat="1" applyFont="1" applyBorder="1" applyAlignment="1" applyProtection="1">
      <alignment horizontal="center"/>
    </xf>
    <xf numFmtId="168" fontId="32" fillId="0" borderId="1" xfId="2" applyNumberFormat="1" applyFont="1" applyBorder="1" applyAlignment="1" applyProtection="1">
      <alignment horizontal="center"/>
    </xf>
    <xf numFmtId="168" fontId="32" fillId="0" borderId="1" xfId="2" applyNumberFormat="1" applyFont="1" applyBorder="1" applyAlignment="1" applyProtection="1">
      <alignment horizontal="center" wrapText="1"/>
    </xf>
    <xf numFmtId="0" fontId="4" fillId="0" borderId="0" xfId="2" applyFont="1" applyAlignment="1">
      <alignment horizontal="center"/>
    </xf>
    <xf numFmtId="0" fontId="32" fillId="0" borderId="0" xfId="2" applyFont="1"/>
    <xf numFmtId="171" fontId="4" fillId="0" borderId="0" xfId="14" applyNumberFormat="1" applyFont="1"/>
    <xf numFmtId="166" fontId="4" fillId="7" borderId="0" xfId="2" applyNumberFormat="1" applyFont="1" applyFill="1"/>
    <xf numFmtId="166" fontId="4" fillId="0" borderId="0" xfId="2" applyNumberFormat="1" applyFont="1"/>
    <xf numFmtId="167" fontId="4" fillId="0" borderId="0" xfId="2" applyNumberFormat="1" applyFont="1" applyProtection="1"/>
    <xf numFmtId="170" fontId="4" fillId="7" borderId="0" xfId="2" applyNumberFormat="1" applyFont="1" applyFill="1" applyProtection="1"/>
    <xf numFmtId="174" fontId="4" fillId="0" borderId="0" xfId="2" applyNumberFormat="1" applyFont="1" applyProtection="1"/>
    <xf numFmtId="175" fontId="4" fillId="7" borderId="0" xfId="2" applyNumberFormat="1" applyFont="1" applyFill="1" applyProtection="1"/>
    <xf numFmtId="169" fontId="4" fillId="7" borderId="0" xfId="2" applyNumberFormat="1" applyFont="1" applyFill="1" applyProtection="1"/>
    <xf numFmtId="37" fontId="4" fillId="0" borderId="0" xfId="0" applyNumberFormat="1" applyFont="1" applyProtection="1">
      <protection locked="0"/>
    </xf>
    <xf numFmtId="14" fontId="4" fillId="0" borderId="0" xfId="0" applyNumberFormat="1" applyFont="1"/>
    <xf numFmtId="165" fontId="4" fillId="0" borderId="0" xfId="0" applyNumberFormat="1" applyFont="1"/>
    <xf numFmtId="166" fontId="4" fillId="0" borderId="0" xfId="0" applyNumberFormat="1" applyFont="1"/>
    <xf numFmtId="1" fontId="30" fillId="0" borderId="1" xfId="0" applyNumberFormat="1" applyFont="1" applyBorder="1" applyAlignment="1" applyProtection="1">
      <alignment horizontal="center"/>
    </xf>
    <xf numFmtId="1" fontId="31" fillId="0" borderId="1" xfId="0" applyNumberFormat="1" applyFont="1" applyBorder="1" applyAlignment="1" applyProtection="1">
      <alignment horizontal="center"/>
    </xf>
    <xf numFmtId="1" fontId="32" fillId="0" borderId="1" xfId="0" applyNumberFormat="1" applyFont="1" applyBorder="1" applyAlignment="1" applyProtection="1">
      <alignment horizontal="center"/>
    </xf>
    <xf numFmtId="166" fontId="32" fillId="0" borderId="1" xfId="0" applyNumberFormat="1" applyFont="1" applyBorder="1" applyAlignment="1" applyProtection="1">
      <alignment horizontal="center"/>
    </xf>
    <xf numFmtId="166" fontId="4" fillId="0" borderId="0" xfId="0" applyNumberFormat="1" applyFont="1" applyBorder="1" applyAlignment="1" applyProtection="1">
      <alignment horizontal="center"/>
    </xf>
    <xf numFmtId="1" fontId="4" fillId="0" borderId="0" xfId="0" applyNumberFormat="1" applyFont="1" applyAlignment="1">
      <alignment horizontal="center"/>
    </xf>
    <xf numFmtId="1" fontId="32" fillId="0" borderId="0" xfId="0" quotePrefix="1" applyNumberFormat="1" applyFont="1" applyAlignment="1">
      <alignment horizontal="center"/>
    </xf>
    <xf numFmtId="1" fontId="4" fillId="0" borderId="0" xfId="0" quotePrefix="1" applyNumberFormat="1" applyFont="1" applyAlignment="1">
      <alignment horizontal="right"/>
    </xf>
    <xf numFmtId="171" fontId="4" fillId="0" borderId="0" xfId="3" applyNumberFormat="1" applyFont="1"/>
    <xf numFmtId="171" fontId="4" fillId="0" borderId="0" xfId="3" applyNumberFormat="1" applyFont="1" applyProtection="1"/>
    <xf numFmtId="166" fontId="4" fillId="0" borderId="0" xfId="0" applyNumberFormat="1" applyFont="1" applyProtection="1"/>
    <xf numFmtId="0" fontId="32" fillId="0" borderId="0" xfId="0" applyFont="1" applyAlignment="1">
      <alignment horizontal="center"/>
    </xf>
    <xf numFmtId="1" fontId="32" fillId="0" borderId="0" xfId="0" applyNumberFormat="1" applyFont="1" applyAlignment="1" applyProtection="1">
      <alignment horizontal="center"/>
    </xf>
    <xf numFmtId="1" fontId="4" fillId="0" borderId="0" xfId="0" applyNumberFormat="1" applyFont="1" applyAlignment="1" applyProtection="1">
      <alignment horizontal="center"/>
    </xf>
    <xf numFmtId="1" fontId="4" fillId="0" borderId="0" xfId="0" applyNumberFormat="1" applyFont="1" applyProtection="1">
      <protection locked="0"/>
    </xf>
    <xf numFmtId="1" fontId="4" fillId="0" borderId="0" xfId="0" applyNumberFormat="1" applyFont="1" applyProtection="1"/>
    <xf numFmtId="1" fontId="4" fillId="0" borderId="0" xfId="0" applyNumberFormat="1" applyFont="1" applyAlignment="1">
      <alignment horizontal="right"/>
    </xf>
    <xf numFmtId="1" fontId="4" fillId="0" borderId="1" xfId="0" applyNumberFormat="1" applyFont="1" applyBorder="1" applyAlignment="1">
      <alignment horizontal="center"/>
    </xf>
    <xf numFmtId="37" fontId="4" fillId="6" borderId="0" xfId="0" applyNumberFormat="1" applyFont="1" applyFill="1" applyProtection="1">
      <protection locked="0"/>
    </xf>
    <xf numFmtId="0" fontId="4" fillId="6" borderId="0" xfId="0" applyFont="1" applyFill="1"/>
    <xf numFmtId="1" fontId="4" fillId="6" borderId="0" xfId="0" applyNumberFormat="1" applyFont="1" applyFill="1"/>
    <xf numFmtId="9" fontId="4" fillId="0" borderId="0" xfId="0" applyNumberFormat="1" applyFont="1" applyFill="1" applyProtection="1"/>
    <xf numFmtId="9" fontId="4" fillId="0" borderId="0" xfId="0" applyNumberFormat="1" applyFont="1" applyFill="1"/>
    <xf numFmtId="1" fontId="4" fillId="0" borderId="1" xfId="0" applyNumberFormat="1" applyFont="1" applyFill="1" applyBorder="1" applyAlignment="1" applyProtection="1">
      <alignment horizontal="center"/>
    </xf>
    <xf numFmtId="166" fontId="4" fillId="0" borderId="1" xfId="0" applyNumberFormat="1" applyFont="1" applyFill="1" applyBorder="1" applyAlignment="1">
      <alignment horizontal="center"/>
    </xf>
    <xf numFmtId="2" fontId="4" fillId="6" borderId="0" xfId="0" applyNumberFormat="1" applyFont="1" applyFill="1" applyAlignment="1">
      <alignment horizontal="center"/>
    </xf>
    <xf numFmtId="37" fontId="0" fillId="0" borderId="0" xfId="0" applyNumberFormat="1"/>
    <xf numFmtId="2" fontId="0" fillId="7" borderId="0" xfId="0" applyNumberFormat="1" applyFill="1"/>
    <xf numFmtId="166" fontId="0" fillId="0" borderId="0" xfId="0" applyNumberFormat="1"/>
    <xf numFmtId="0" fontId="34" fillId="0" borderId="0" xfId="0" applyFont="1" applyAlignment="1">
      <alignment horizontal="center"/>
    </xf>
    <xf numFmtId="166" fontId="4" fillId="7" borderId="0" xfId="0" applyNumberFormat="1" applyFont="1" applyFill="1"/>
    <xf numFmtId="0" fontId="29" fillId="0" borderId="0" xfId="0" applyFont="1"/>
    <xf numFmtId="0" fontId="6" fillId="0" borderId="0" xfId="2" applyFont="1" applyProtection="1"/>
    <xf numFmtId="0" fontId="16" fillId="0" borderId="0" xfId="0" applyFont="1" applyProtection="1"/>
    <xf numFmtId="0" fontId="16" fillId="0" borderId="0" xfId="0" applyFont="1" applyAlignment="1" applyProtection="1">
      <alignment wrapText="1"/>
    </xf>
    <xf numFmtId="0" fontId="15" fillId="0" borderId="0" xfId="2" applyFont="1" applyProtection="1"/>
    <xf numFmtId="0" fontId="16" fillId="0" borderId="0" xfId="2" applyFont="1" applyProtection="1"/>
    <xf numFmtId="0" fontId="16" fillId="0" borderId="8" xfId="0" applyFont="1" applyFill="1" applyBorder="1" applyProtection="1"/>
    <xf numFmtId="0" fontId="16" fillId="0" borderId="4" xfId="0" applyFont="1" applyFill="1" applyBorder="1" applyProtection="1"/>
    <xf numFmtId="0" fontId="16" fillId="0" borderId="0" xfId="2" applyFont="1" applyAlignment="1" applyProtection="1">
      <alignment vertical="top"/>
    </xf>
    <xf numFmtId="0" fontId="16" fillId="0" borderId="0" xfId="0" applyFont="1" applyAlignment="1" applyProtection="1">
      <alignment vertical="top" wrapText="1"/>
    </xf>
    <xf numFmtId="0" fontId="6" fillId="0" borderId="4" xfId="2" applyFont="1" applyBorder="1" applyProtection="1"/>
    <xf numFmtId="0" fontId="16" fillId="0" borderId="0" xfId="2" applyFont="1" applyAlignment="1" applyProtection="1">
      <alignment vertical="top" wrapText="1"/>
    </xf>
    <xf numFmtId="0" fontId="6" fillId="0" borderId="11" xfId="2" applyFont="1" applyBorder="1" applyProtection="1"/>
    <xf numFmtId="0" fontId="16" fillId="0" borderId="0" xfId="2" applyFont="1" applyAlignment="1" applyProtection="1">
      <alignment horizontal="left" vertical="top" wrapText="1"/>
    </xf>
    <xf numFmtId="0" fontId="16" fillId="0" borderId="0" xfId="2" applyFont="1" applyAlignment="1" applyProtection="1">
      <alignment wrapText="1"/>
    </xf>
    <xf numFmtId="0" fontId="16" fillId="5" borderId="9" xfId="0" applyFont="1" applyFill="1" applyBorder="1" applyAlignment="1" applyProtection="1">
      <alignment horizontal="center"/>
      <protection locked="0"/>
    </xf>
    <xf numFmtId="0" fontId="16" fillId="5" borderId="10" xfId="0" applyFont="1" applyFill="1" applyBorder="1" applyAlignment="1" applyProtection="1">
      <alignment horizontal="center"/>
      <protection locked="0"/>
    </xf>
    <xf numFmtId="176" fontId="16" fillId="5" borderId="10" xfId="0" applyNumberFormat="1" applyFont="1" applyFill="1" applyBorder="1" applyAlignment="1" applyProtection="1">
      <alignment horizontal="center"/>
      <protection locked="0"/>
    </xf>
    <xf numFmtId="176" fontId="16" fillId="5" borderId="12" xfId="0" applyNumberFormat="1" applyFont="1" applyFill="1" applyBorder="1" applyAlignment="1" applyProtection="1">
      <alignment horizontal="center"/>
      <protection locked="0"/>
    </xf>
    <xf numFmtId="9" fontId="4" fillId="7" borderId="0" xfId="6" applyNumberFormat="1" applyFont="1" applyFill="1"/>
    <xf numFmtId="0" fontId="15" fillId="3" borderId="3" xfId="5" applyFont="1" applyFill="1" applyBorder="1" applyAlignment="1" applyProtection="1">
      <alignment horizontal="center"/>
    </xf>
    <xf numFmtId="0" fontId="16" fillId="0" borderId="0" xfId="0" applyFont="1" applyProtection="1"/>
    <xf numFmtId="0" fontId="16" fillId="0" borderId="0" xfId="5" applyFont="1" applyFill="1" applyAlignment="1" applyProtection="1">
      <alignment horizontal="left"/>
    </xf>
    <xf numFmtId="173" fontId="17" fillId="0" borderId="4" xfId="4" applyNumberFormat="1" applyFont="1" applyFill="1" applyBorder="1" applyAlignment="1" applyProtection="1">
      <alignment horizontal="left"/>
      <protection locked="0"/>
    </xf>
    <xf numFmtId="173" fontId="17" fillId="0" borderId="0" xfId="4" applyNumberFormat="1" applyFont="1" applyFill="1" applyBorder="1" applyAlignment="1" applyProtection="1">
      <alignment horizontal="left"/>
      <protection locked="0"/>
    </xf>
    <xf numFmtId="0" fontId="16" fillId="0" borderId="0" xfId="2" applyFont="1" applyAlignment="1" applyProtection="1">
      <alignment horizontal="left" vertical="top" wrapText="1"/>
    </xf>
    <xf numFmtId="0" fontId="15" fillId="0" borderId="6" xfId="0" applyFont="1" applyBorder="1" applyAlignment="1" applyProtection="1">
      <alignment horizontal="center"/>
    </xf>
    <xf numFmtId="0" fontId="15" fillId="0" borderId="7" xfId="0" applyFont="1" applyBorder="1" applyAlignment="1" applyProtection="1">
      <alignment horizontal="center"/>
    </xf>
    <xf numFmtId="177" fontId="32" fillId="7" borderId="0" xfId="0" applyNumberFormat="1" applyFont="1" applyFill="1" applyProtection="1"/>
    <xf numFmtId="0" fontId="4" fillId="8" borderId="0" xfId="0" applyFont="1" applyFill="1"/>
  </cellXfs>
  <cellStyles count="15">
    <cellStyle name="Comma" xfId="3" builtinId="3"/>
    <cellStyle name="Comma 2" xfId="14"/>
    <cellStyle name="Comma 3" xfId="8"/>
    <cellStyle name="Hyperlink" xfId="4" builtinId="8"/>
    <cellStyle name="Normal" xfId="0" builtinId="0"/>
    <cellStyle name="Normal 2" xfId="2"/>
    <cellStyle name="Normal 2 2" xfId="1"/>
    <cellStyle name="Normal 2 3" xfId="9"/>
    <cellStyle name="Normal 2 4" xfId="10"/>
    <cellStyle name="Normal 3" xfId="7"/>
    <cellStyle name="Normal 3 2" xfId="11"/>
    <cellStyle name="Normal 3 2 2" xfId="5"/>
    <cellStyle name="Normal 3 3" xfId="12"/>
    <cellStyle name="Normal 4" xfId="13"/>
    <cellStyle name="Percent" xfId="6" builtinId="5"/>
  </cellStyles>
  <dxfs count="0"/>
  <tableStyles count="0" defaultTableStyle="TableStyleMedium9" defaultPivotStyle="PivotStyleLight16"/>
  <colors>
    <mruColors>
      <color rgb="FFFFEB9B"/>
      <color rgb="FFFF9B37"/>
      <color rgb="FFFFFFFF"/>
      <color rgb="FFD7E6E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99634193057582"/>
          <c:y val="8.6842105263157901E-2"/>
          <c:w val="0.81583940463751692"/>
          <c:h val="0.72368421052632126"/>
        </c:manualLayout>
      </c:layout>
      <c:lineChart>
        <c:grouping val="standard"/>
        <c:varyColors val="0"/>
        <c:ser>
          <c:idx val="0"/>
          <c:order val="0"/>
          <c:tx>
            <c:strRef>
              <c:f>Method!$H$6</c:f>
              <c:strCache>
                <c:ptCount val="1"/>
                <c:pt idx="0">
                  <c:v>c: 5Nx</c:v>
                </c:pt>
              </c:strCache>
            </c:strRef>
          </c:tx>
          <c:spPr>
            <a:ln w="12700">
              <a:solidFill>
                <a:srgbClr val="000080"/>
              </a:solidFill>
              <a:prstDash val="solid"/>
            </a:ln>
          </c:spPr>
          <c:marker>
            <c:symbol val="none"/>
          </c:marker>
          <c:cat>
            <c:strRef>
              <c:f>Method!$A$8:$A$24</c:f>
              <c:strCache>
                <c:ptCount val="16"/>
                <c:pt idx="0">
                  <c:v>0- 4</c:v>
                </c:pt>
                <c:pt idx="1">
                  <c:v>5- 9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c:v>
                </c:pt>
              </c:strCache>
            </c:strRef>
          </c:cat>
          <c:val>
            <c:numRef>
              <c:f>Method!$H$8:$H$24</c:f>
              <c:numCache>
                <c:formatCode>0.0000</c:formatCode>
                <c:ptCount val="17"/>
                <c:pt idx="1">
                  <c:v>0.85767324292370872</c:v>
                </c:pt>
                <c:pt idx="2">
                  <c:v>0.92331583543897167</c:v>
                </c:pt>
                <c:pt idx="3">
                  <c:v>0.93844977880718949</c:v>
                </c:pt>
                <c:pt idx="4">
                  <c:v>0.87569900715767091</c:v>
                </c:pt>
                <c:pt idx="5">
                  <c:v>0.9159908993591217</c:v>
                </c:pt>
                <c:pt idx="6">
                  <c:v>0.90948616059413301</c:v>
                </c:pt>
                <c:pt idx="7">
                  <c:v>0.81027895564263985</c:v>
                </c:pt>
                <c:pt idx="8">
                  <c:v>0.86248511133303185</c:v>
                </c:pt>
                <c:pt idx="9">
                  <c:v>0.87707060035056739</c:v>
                </c:pt>
                <c:pt idx="10">
                  <c:v>0.8558503702834368</c:v>
                </c:pt>
                <c:pt idx="11">
                  <c:v>1.0157742392642617</c:v>
                </c:pt>
                <c:pt idx="12">
                  <c:v>0.69681740533859793</c:v>
                </c:pt>
                <c:pt idx="13">
                  <c:v>0.99987389570854579</c:v>
                </c:pt>
                <c:pt idx="14">
                  <c:v>0.94865538101645619</c:v>
                </c:pt>
                <c:pt idx="15">
                  <c:v>#N/A</c:v>
                </c:pt>
                <c:pt idx="16">
                  <c:v>#N/A</c:v>
                </c:pt>
              </c:numCache>
            </c:numRef>
          </c:val>
          <c:smooth val="0"/>
          <c:extLst>
            <c:ext xmlns:c16="http://schemas.microsoft.com/office/drawing/2014/chart" uri="{C3380CC4-5D6E-409C-BE32-E72D297353CC}">
              <c16:uniqueId val="{00000000-71D2-4613-99CD-A979CE854109}"/>
            </c:ext>
          </c:extLst>
        </c:ser>
        <c:ser>
          <c:idx val="1"/>
          <c:order val="1"/>
          <c:tx>
            <c:strRef>
              <c:f>Method!$I$6</c:f>
              <c:strCache>
                <c:ptCount val="1"/>
                <c:pt idx="0">
                  <c:v>c: A-xNx</c:v>
                </c:pt>
              </c:strCache>
            </c:strRef>
          </c:tx>
          <c:spPr>
            <a:ln w="12700">
              <a:solidFill>
                <a:srgbClr val="FF00FF"/>
              </a:solidFill>
              <a:prstDash val="solid"/>
            </a:ln>
          </c:spPr>
          <c:marker>
            <c:symbol val="none"/>
          </c:marker>
          <c:cat>
            <c:strRef>
              <c:f>Method!$A$8:$A$24</c:f>
              <c:strCache>
                <c:ptCount val="16"/>
                <c:pt idx="0">
                  <c:v>0- 4</c:v>
                </c:pt>
                <c:pt idx="1">
                  <c:v>5- 9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c:v>
                </c:pt>
              </c:strCache>
            </c:strRef>
          </c:cat>
          <c:val>
            <c:numRef>
              <c:f>Method!$I$8:$I$24</c:f>
              <c:numCache>
                <c:formatCode>0.0000</c:formatCode>
                <c:ptCount val="17"/>
                <c:pt idx="1">
                  <c:v>0.8878951604773403</c:v>
                </c:pt>
                <c:pt idx="2">
                  <c:v>0.89462936113152003</c:v>
                </c:pt>
                <c:pt idx="3">
                  <c:v>0.88853773362993649</c:v>
                </c:pt>
                <c:pt idx="4">
                  <c:v>0.87776175996991579</c:v>
                </c:pt>
                <c:pt idx="5">
                  <c:v>0.87826448146664782</c:v>
                </c:pt>
                <c:pt idx="6">
                  <c:v>0.86901832861541595</c:v>
                </c:pt>
                <c:pt idx="7">
                  <c:v>0.85840459672355773</c:v>
                </c:pt>
                <c:pt idx="8">
                  <c:v>0.87411961943532601</c:v>
                </c:pt>
                <c:pt idx="9">
                  <c:v>0.87810053581022063</c:v>
                </c:pt>
                <c:pt idx="10">
                  <c:v>0.87849640450813182</c:v>
                </c:pt>
                <c:pt idx="11">
                  <c:v>0.88921383253917285</c:v>
                </c:pt>
                <c:pt idx="12">
                  <c:v>0.82951070354873302</c:v>
                </c:pt>
                <c:pt idx="13">
                  <c:v>0.97794323511299897</c:v>
                </c:pt>
                <c:pt idx="14">
                  <c:v>0.94865538101645619</c:v>
                </c:pt>
                <c:pt idx="15">
                  <c:v>#N/A</c:v>
                </c:pt>
                <c:pt idx="16">
                  <c:v>#N/A</c:v>
                </c:pt>
              </c:numCache>
            </c:numRef>
          </c:val>
          <c:smooth val="0"/>
          <c:extLst>
            <c:ext xmlns:c16="http://schemas.microsoft.com/office/drawing/2014/chart" uri="{C3380CC4-5D6E-409C-BE32-E72D297353CC}">
              <c16:uniqueId val="{00000001-71D2-4613-99CD-A979CE854109}"/>
            </c:ext>
          </c:extLst>
        </c:ser>
        <c:dLbls>
          <c:showLegendKey val="0"/>
          <c:showVal val="0"/>
          <c:showCatName val="0"/>
          <c:showSerName val="0"/>
          <c:showPercent val="0"/>
          <c:showBubbleSize val="0"/>
        </c:dLbls>
        <c:smooth val="0"/>
        <c:axId val="826358672"/>
        <c:axId val="826359232"/>
      </c:lineChart>
      <c:catAx>
        <c:axId val="826358672"/>
        <c:scaling>
          <c:orientation val="minMax"/>
        </c:scaling>
        <c:delete val="0"/>
        <c:axPos val="b"/>
        <c:numFmt formatCode="General" sourceLinked="1"/>
        <c:majorTickMark val="cross"/>
        <c:minorTickMark val="none"/>
        <c:tickLblPos val="nextTo"/>
        <c:spPr>
          <a:ln w="3175">
            <a:solidFill>
              <a:srgbClr val="000000"/>
            </a:solidFill>
            <a:prstDash val="solid"/>
          </a:ln>
        </c:spPr>
        <c:txPr>
          <a:bodyPr rot="-5400000" vert="horz"/>
          <a:lstStyle/>
          <a:p>
            <a:pPr>
              <a:defRPr sz="1200" b="0" i="0" u="none" strike="noStrike" baseline="0">
                <a:solidFill>
                  <a:srgbClr val="000000"/>
                </a:solidFill>
                <a:latin typeface="Times New Roman"/>
                <a:ea typeface="Times New Roman"/>
                <a:cs typeface="Times New Roman"/>
              </a:defRPr>
            </a:pPr>
            <a:endParaRPr lang="en-US"/>
          </a:p>
        </c:txPr>
        <c:crossAx val="826359232"/>
        <c:crossesAt val="1"/>
        <c:auto val="0"/>
        <c:lblAlgn val="ctr"/>
        <c:lblOffset val="100"/>
        <c:tickLblSkip val="2"/>
        <c:tickMarkSkip val="1"/>
        <c:noMultiLvlLbl val="0"/>
      </c:catAx>
      <c:valAx>
        <c:axId val="826359232"/>
        <c:scaling>
          <c:orientation val="minMax"/>
          <c:max val="1.5"/>
          <c:min val="0.5"/>
        </c:scaling>
        <c:delete val="0"/>
        <c:axPos val="l"/>
        <c:majorGridlines>
          <c:spPr>
            <a:ln w="3175">
              <a:solidFill>
                <a:srgbClr val="C0C0C0"/>
              </a:solidFill>
              <a:prstDash val="sysDash"/>
            </a:ln>
          </c:spPr>
        </c:majorGridlines>
        <c:numFmt formatCode="0.00" sourceLinked="0"/>
        <c:majorTickMark val="out"/>
        <c:minorTickMark val="none"/>
        <c:tickLblPos val="nextTo"/>
        <c:spPr>
          <a:ln w="3175">
            <a:solidFill>
              <a:srgbClr val="000000"/>
            </a:solidFill>
            <a:prstDash val="solid"/>
          </a:ln>
        </c:spPr>
        <c:txPr>
          <a:bodyPr rot="0" vert="horz"/>
          <a:lstStyle/>
          <a:p>
            <a:pPr>
              <a:defRPr sz="1550" b="0" i="0" u="none" strike="noStrike" baseline="0">
                <a:solidFill>
                  <a:srgbClr val="000000"/>
                </a:solidFill>
                <a:latin typeface="Times New Roman"/>
                <a:ea typeface="Times New Roman"/>
                <a:cs typeface="Times New Roman"/>
              </a:defRPr>
            </a:pPr>
            <a:endParaRPr lang="en-US"/>
          </a:p>
        </c:txPr>
        <c:crossAx val="826358672"/>
        <c:crosses val="autoZero"/>
        <c:crossBetween val="midCat"/>
        <c:majorUnit val="0.1"/>
      </c:valAx>
      <c:spPr>
        <a:solidFill>
          <a:srgbClr val="FFFFFF"/>
        </a:solidFill>
        <a:ln w="25400">
          <a:noFill/>
        </a:ln>
      </c:spPr>
    </c:plotArea>
    <c:legend>
      <c:legendPos val="b"/>
      <c:layout>
        <c:manualLayout>
          <c:xMode val="edge"/>
          <c:yMode val="edge"/>
          <c:x val="0.19337055243785117"/>
          <c:y val="0.88947368421052631"/>
          <c:w val="0.69245051550876568"/>
          <c:h val="9.4736842105265118E-2"/>
        </c:manualLayout>
      </c:layout>
      <c:overlay val="0"/>
      <c:spPr>
        <a:solidFill>
          <a:srgbClr val="FFFFFF"/>
        </a:solidFill>
        <a:ln w="25400">
          <a:noFill/>
        </a:ln>
      </c:spPr>
      <c:txPr>
        <a:bodyPr/>
        <a:lstStyle/>
        <a:p>
          <a:pPr>
            <a:defRPr sz="1375" b="0" i="0" u="none" strike="noStrike" baseline="0">
              <a:solidFill>
                <a:srgbClr val="000000"/>
              </a:solidFill>
              <a:latin typeface="Times New Roman"/>
              <a:ea typeface="Times New Roman"/>
              <a:cs typeface="Times New Roman"/>
            </a:defRPr>
          </a:pPr>
          <a:endParaRPr lang="en-US"/>
        </a:p>
      </c:txPr>
    </c:legend>
    <c:plotVisOnly val="1"/>
    <c:dispBlanksAs val="gap"/>
    <c:showDLblsOverMax val="0"/>
  </c:chart>
  <c:spPr>
    <a:solidFill>
      <a:srgbClr val="FFFFFF"/>
    </a:solidFill>
    <a:ln w="9525">
      <a:noFill/>
    </a:ln>
  </c:spPr>
  <c:txPr>
    <a:bodyPr/>
    <a:lstStyle/>
    <a:p>
      <a:pPr>
        <a:defRPr sz="1200" b="0" i="0" u="none" strike="noStrike" baseline="0">
          <a:solidFill>
            <a:srgbClr val="000000"/>
          </a:solidFill>
          <a:latin typeface="Times New Roman"/>
          <a:ea typeface="Times New Roman"/>
          <a:cs typeface="Times New Roman"/>
        </a:defRPr>
      </a:pPr>
      <a:endParaRPr lang="en-US"/>
    </a:p>
  </c:txPr>
  <c:printSettings>
    <c:headerFooter alignWithMargins="0"/>
    <c:pageMargins b="1" l="0.75000000000000444" r="0.75000000000000444" t="1" header="0.5" footer="0.5"/>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814349404954521"/>
          <c:y val="5.9548314325103414E-2"/>
          <c:w val="0.727894869305721"/>
          <c:h val="0.71826785676723626"/>
        </c:manualLayout>
      </c:layout>
      <c:scatterChart>
        <c:scatterStyle val="lineMarker"/>
        <c:varyColors val="0"/>
        <c:ser>
          <c:idx val="0"/>
          <c:order val="0"/>
          <c:tx>
            <c:strRef>
              <c:f>'Life expectancies'!$I$5</c:f>
              <c:strCache>
                <c:ptCount val="1"/>
                <c:pt idx="0">
                  <c:v>Obs. Y(x)</c:v>
                </c:pt>
              </c:strCache>
            </c:strRef>
          </c:tx>
          <c:spPr>
            <a:ln w="28575">
              <a:noFill/>
            </a:ln>
          </c:spPr>
          <c:marker>
            <c:symbol val="diamond"/>
            <c:size val="5"/>
            <c:spPr>
              <a:solidFill>
                <a:srgbClr val="000080"/>
              </a:solidFill>
              <a:ln>
                <a:solidFill>
                  <a:srgbClr val="000080"/>
                </a:solidFill>
                <a:prstDash val="solid"/>
              </a:ln>
            </c:spPr>
          </c:marker>
          <c:xVal>
            <c:numRef>
              <c:f>'Life expectancies'!$K$9:$K$25</c:f>
              <c:numCache>
                <c:formatCode>0.0000_)</c:formatCode>
                <c:ptCount val="17"/>
                <c:pt idx="0">
                  <c:v>-2.2505979342666698</c:v>
                </c:pt>
                <c:pt idx="1">
                  <c:v>-1.9585498746774208</c:v>
                </c:pt>
                <c:pt idx="2">
                  <c:v>-1.7059635215249491</c:v>
                </c:pt>
                <c:pt idx="3">
                  <c:v>-1.4928261749237073</c:v>
                </c:pt>
                <c:pt idx="4">
                  <c:v>-1.3226452410536844</c:v>
                </c:pt>
                <c:pt idx="5">
                  <c:v>-1.1766131886173843</c:v>
                </c:pt>
                <c:pt idx="6">
                  <c:v>-1.0446781483104151</c:v>
                </c:pt>
                <c:pt idx="7">
                  <c:v>-0.91944057379661248</c:v>
                </c:pt>
                <c:pt idx="8">
                  <c:v>-0.7925048820508992</c:v>
                </c:pt>
                <c:pt idx="9">
                  <c:v>-0.65144477232807607</c:v>
                </c:pt>
                <c:pt idx="10">
                  <c:v>-0.49464794039967175</c:v>
                </c:pt>
                <c:pt idx="11">
                  <c:v>-0.30738762512432866</c:v>
                </c:pt>
                <c:pt idx="12">
                  <c:v>-8.560519582249751E-2</c:v>
                </c:pt>
                <c:pt idx="13">
                  <c:v>0.18983445421266135</c:v>
                </c:pt>
                <c:pt idx="14">
                  <c:v>0.53729909217546867</c:v>
                </c:pt>
                <c:pt idx="15">
                  <c:v>0.99559980067780607</c:v>
                </c:pt>
                <c:pt idx="16">
                  <c:v>1.6443047888384308</c:v>
                </c:pt>
              </c:numCache>
            </c:numRef>
          </c:xVal>
          <c:yVal>
            <c:numRef>
              <c:f>'Life expectancies'!$I$9:$I$25</c:f>
              <c:numCache>
                <c:formatCode>0.0000_)</c:formatCode>
                <c:ptCount val="17"/>
                <c:pt idx="0">
                  <c:v>-1.9987294871424932</c:v>
                </c:pt>
                <c:pt idx="1">
                  <c:v>-1.8121932363603905</c:v>
                </c:pt>
                <c:pt idx="2">
                  <c:v>-1.6203855850947102</c:v>
                </c:pt>
                <c:pt idx="3">
                  <c:v>-1.4560316304358509</c:v>
                </c:pt>
                <c:pt idx="4">
                  <c:v>-1.314149732926158</c:v>
                </c:pt>
                <c:pt idx="5">
                  <c:v>-1.1657519459519468</c:v>
                </c:pt>
                <c:pt idx="6">
                  <c:v>-1.0304116397954042</c:v>
                </c:pt>
                <c:pt idx="7">
                  <c:v>-0.89797119838294659</c:v>
                </c:pt>
                <c:pt idx="8">
                  <c:v>-0.76109002051452157</c:v>
                </c:pt>
                <c:pt idx="9">
                  <c:v>-0.62038596146096137</c:v>
                </c:pt>
                <c:pt idx="10">
                  <c:v>-0.45547010304132213</c:v>
                </c:pt>
                <c:pt idx="11">
                  <c:v>-0.26401806904423758</c:v>
                </c:pt>
                <c:pt idx="12">
                  <c:v>-6.073249653783061E-2</c:v>
                </c:pt>
                <c:pt idx="13">
                  <c:v>0.1813807845802235</c:v>
                </c:pt>
                <c:pt idx="14">
                  <c:v>#N/A</c:v>
                </c:pt>
                <c:pt idx="15">
                  <c:v>#N/A</c:v>
                </c:pt>
                <c:pt idx="16">
                  <c:v>#N/A</c:v>
                </c:pt>
              </c:numCache>
            </c:numRef>
          </c:yVal>
          <c:smooth val="0"/>
          <c:extLst>
            <c:ext xmlns:c16="http://schemas.microsoft.com/office/drawing/2014/chart" uri="{C3380CC4-5D6E-409C-BE32-E72D297353CC}">
              <c16:uniqueId val="{00000000-22AF-4545-9C19-0BD4F2B38931}"/>
            </c:ext>
          </c:extLst>
        </c:ser>
        <c:ser>
          <c:idx val="1"/>
          <c:order val="1"/>
          <c:tx>
            <c:strRef>
              <c:f>'Life expectancies'!$L$5</c:f>
              <c:strCache>
                <c:ptCount val="1"/>
                <c:pt idx="0">
                  <c:v>Fitted Y(x)</c:v>
                </c:pt>
              </c:strCache>
            </c:strRef>
          </c:tx>
          <c:spPr>
            <a:ln w="12700">
              <a:solidFill>
                <a:srgbClr val="FF00FF"/>
              </a:solidFill>
              <a:prstDash val="solid"/>
            </a:ln>
          </c:spPr>
          <c:marker>
            <c:symbol val="none"/>
          </c:marker>
          <c:xVal>
            <c:numRef>
              <c:f>'Life expectancies'!$K$9:$K$25</c:f>
              <c:numCache>
                <c:formatCode>0.0000_)</c:formatCode>
                <c:ptCount val="17"/>
                <c:pt idx="0">
                  <c:v>-2.2505979342666698</c:v>
                </c:pt>
                <c:pt idx="1">
                  <c:v>-1.9585498746774208</c:v>
                </c:pt>
                <c:pt idx="2">
                  <c:v>-1.7059635215249491</c:v>
                </c:pt>
                <c:pt idx="3">
                  <c:v>-1.4928261749237073</c:v>
                </c:pt>
                <c:pt idx="4">
                  <c:v>-1.3226452410536844</c:v>
                </c:pt>
                <c:pt idx="5">
                  <c:v>-1.1766131886173843</c:v>
                </c:pt>
                <c:pt idx="6">
                  <c:v>-1.0446781483104151</c:v>
                </c:pt>
                <c:pt idx="7">
                  <c:v>-0.91944057379661248</c:v>
                </c:pt>
                <c:pt idx="8">
                  <c:v>-0.7925048820508992</c:v>
                </c:pt>
                <c:pt idx="9">
                  <c:v>-0.65144477232807607</c:v>
                </c:pt>
                <c:pt idx="10">
                  <c:v>-0.49464794039967175</c:v>
                </c:pt>
                <c:pt idx="11">
                  <c:v>-0.30738762512432866</c:v>
                </c:pt>
                <c:pt idx="12">
                  <c:v>-8.560519582249751E-2</c:v>
                </c:pt>
                <c:pt idx="13">
                  <c:v>0.18983445421266135</c:v>
                </c:pt>
                <c:pt idx="14">
                  <c:v>0.53729909217546867</c:v>
                </c:pt>
                <c:pt idx="15">
                  <c:v>0.99559980067780607</c:v>
                </c:pt>
                <c:pt idx="16">
                  <c:v>1.6443047888384308</c:v>
                </c:pt>
              </c:numCache>
            </c:numRef>
          </c:xVal>
          <c:yVal>
            <c:numRef>
              <c:f>'Life expectancies'!$L$9:$L$25</c:f>
              <c:numCache>
                <c:formatCode>0.0000_)</c:formatCode>
                <c:ptCount val="17"/>
                <c:pt idx="0">
                  <c:v>-2.183403137679933</c:v>
                </c:pt>
                <c:pt idx="1">
                  <c:v>-1.8979689980755112</c:v>
                </c:pt>
                <c:pt idx="2">
                  <c:v>-1.6511028881301306</c:v>
                </c:pt>
                <c:pt idx="3">
                  <c:v>-1.4427923955685342</c:v>
                </c:pt>
                <c:pt idx="4">
                  <c:v>-1.2764654954528956</c:v>
                </c:pt>
                <c:pt idx="5">
                  <c:v>-1.1337405846952362</c:v>
                </c:pt>
                <c:pt idx="6">
                  <c:v>-1.0047934354943147</c:v>
                </c:pt>
                <c:pt idx="7">
                  <c:v>-0.88239207669820263</c:v>
                </c:pt>
                <c:pt idx="8">
                  <c:v>-0.75833105739374973</c:v>
                </c:pt>
                <c:pt idx="9">
                  <c:v>-0.62046549133634177</c:v>
                </c:pt>
                <c:pt idx="10">
                  <c:v>-0.46721958764114446</c:v>
                </c:pt>
                <c:pt idx="11">
                  <c:v>-0.28420009746598002</c:v>
                </c:pt>
                <c:pt idx="12">
                  <c:v>-6.7440304655916258E-2</c:v>
                </c:pt>
                <c:pt idx="13">
                  <c:v>0.20176155078973768</c:v>
                </c:pt>
                <c:pt idx="14">
                  <c:v>0.54135726705426368</c:v>
                </c:pt>
                <c:pt idx="15">
                  <c:v>0.98927898444367579</c:v>
                </c:pt>
                <c:pt idx="16">
                  <c:v>1.6232929560247462</c:v>
                </c:pt>
              </c:numCache>
            </c:numRef>
          </c:yVal>
          <c:smooth val="0"/>
          <c:extLst>
            <c:ext xmlns:c16="http://schemas.microsoft.com/office/drawing/2014/chart" uri="{C3380CC4-5D6E-409C-BE32-E72D297353CC}">
              <c16:uniqueId val="{00000001-22AF-4545-9C19-0BD4F2B38931}"/>
            </c:ext>
          </c:extLst>
        </c:ser>
        <c:dLbls>
          <c:showLegendKey val="0"/>
          <c:showVal val="0"/>
          <c:showCatName val="0"/>
          <c:showSerName val="0"/>
          <c:showPercent val="0"/>
          <c:showBubbleSize val="0"/>
        </c:dLbls>
        <c:axId val="987227136"/>
        <c:axId val="987227696"/>
      </c:scatterChart>
      <c:valAx>
        <c:axId val="987227136"/>
        <c:scaling>
          <c:orientation val="minMax"/>
        </c:scaling>
        <c:delete val="0"/>
        <c:axPos val="b"/>
        <c:title>
          <c:tx>
            <c:rich>
              <a:bodyPr/>
              <a:lstStyle/>
              <a:p>
                <a:pPr>
                  <a:defRPr sz="1100" b="0" i="0" u="none" strike="noStrike" baseline="0">
                    <a:solidFill>
                      <a:srgbClr val="000000"/>
                    </a:solidFill>
                    <a:latin typeface="Calibri"/>
                    <a:ea typeface="Calibri"/>
                    <a:cs typeface="Calibri"/>
                  </a:defRPr>
                </a:pPr>
                <a:r>
                  <a:rPr lang="en-ZA" sz="1500" b="1" i="0" u="none" strike="noStrike" baseline="0">
                    <a:solidFill>
                      <a:srgbClr val="000000"/>
                    </a:solidFill>
                    <a:latin typeface="Times New Roman"/>
                    <a:cs typeface="Times New Roman"/>
                  </a:rPr>
                  <a:t>Y</a:t>
                </a:r>
                <a:r>
                  <a:rPr lang="en-ZA" sz="1500" b="1" i="0" u="none" strike="noStrike" baseline="-25000">
                    <a:solidFill>
                      <a:srgbClr val="000000"/>
                    </a:solidFill>
                    <a:latin typeface="Times New Roman"/>
                    <a:cs typeface="Times New Roman"/>
                  </a:rPr>
                  <a:t>s</a:t>
                </a:r>
                <a:r>
                  <a:rPr lang="en-ZA" sz="1500" b="1" i="0" u="none" strike="noStrike" baseline="0">
                    <a:solidFill>
                      <a:srgbClr val="000000"/>
                    </a:solidFill>
                    <a:latin typeface="Times New Roman"/>
                    <a:cs typeface="Times New Roman"/>
                  </a:rPr>
                  <a:t>(x)</a:t>
                </a:r>
              </a:p>
            </c:rich>
          </c:tx>
          <c:layout>
            <c:manualLayout>
              <c:xMode val="edge"/>
              <c:yMode val="edge"/>
              <c:x val="0.4382357171107038"/>
              <c:y val="0.85643011898668497"/>
            </c:manualLayout>
          </c:layout>
          <c:overlay val="0"/>
          <c:spPr>
            <a:noFill/>
            <a:ln w="25400">
              <a:noFill/>
            </a:ln>
          </c:spPr>
        </c:title>
        <c:numFmt formatCode="0.00" sourceLinked="0"/>
        <c:majorTickMark val="out"/>
        <c:minorTickMark val="none"/>
        <c:tickLblPos val="low"/>
        <c:spPr>
          <a:ln w="3175">
            <a:solidFill>
              <a:srgbClr val="000000"/>
            </a:solidFill>
            <a:prstDash val="solid"/>
          </a:ln>
        </c:spPr>
        <c:txPr>
          <a:bodyPr rot="0" vert="horz"/>
          <a:lstStyle/>
          <a:p>
            <a:pPr>
              <a:defRPr sz="1125" b="0" i="0" u="none" strike="noStrike" baseline="0">
                <a:solidFill>
                  <a:srgbClr val="000000"/>
                </a:solidFill>
                <a:latin typeface="Times New Roman"/>
                <a:ea typeface="Times New Roman"/>
                <a:cs typeface="Times New Roman"/>
              </a:defRPr>
            </a:pPr>
            <a:endParaRPr lang="en-US"/>
          </a:p>
        </c:txPr>
        <c:crossAx val="987227696"/>
        <c:crossesAt val="0"/>
        <c:crossBetween val="midCat"/>
      </c:valAx>
      <c:valAx>
        <c:axId val="987227696"/>
        <c:scaling>
          <c:orientation val="minMax"/>
        </c:scaling>
        <c:delete val="0"/>
        <c:axPos val="l"/>
        <c:title>
          <c:tx>
            <c:rich>
              <a:bodyPr/>
              <a:lstStyle/>
              <a:p>
                <a:pPr>
                  <a:defRPr sz="1500" b="1" i="0" u="none" strike="noStrike" baseline="0">
                    <a:solidFill>
                      <a:srgbClr val="000000"/>
                    </a:solidFill>
                    <a:latin typeface="Times New Roman"/>
                    <a:ea typeface="Times New Roman"/>
                    <a:cs typeface="Times New Roman"/>
                  </a:defRPr>
                </a:pPr>
                <a:r>
                  <a:rPr lang="en-ZA"/>
                  <a:t>Y(x)</a:t>
                </a:r>
              </a:p>
            </c:rich>
          </c:tx>
          <c:layout>
            <c:manualLayout>
              <c:xMode val="edge"/>
              <c:yMode val="edge"/>
              <c:x val="1.6666666666666701E-2"/>
              <c:y val="0.37987722787218675"/>
            </c:manualLayout>
          </c:layout>
          <c:overlay val="0"/>
          <c:spPr>
            <a:noFill/>
            <a:ln w="25400">
              <a:noFill/>
            </a:ln>
          </c:spPr>
        </c:title>
        <c:numFmt formatCode="0.00" sourceLinked="0"/>
        <c:majorTickMark val="out"/>
        <c:minorTickMark val="none"/>
        <c:tickLblPos val="low"/>
        <c:spPr>
          <a:ln w="3175">
            <a:solidFill>
              <a:srgbClr val="000000"/>
            </a:solidFill>
            <a:prstDash val="solid"/>
          </a:ln>
        </c:spPr>
        <c:txPr>
          <a:bodyPr rot="0" vert="horz"/>
          <a:lstStyle/>
          <a:p>
            <a:pPr>
              <a:defRPr sz="1125" b="0" i="0" u="none" strike="noStrike" baseline="0">
                <a:solidFill>
                  <a:srgbClr val="000000"/>
                </a:solidFill>
                <a:latin typeface="Times New Roman"/>
                <a:ea typeface="Times New Roman"/>
                <a:cs typeface="Times New Roman"/>
              </a:defRPr>
            </a:pPr>
            <a:endParaRPr lang="en-US"/>
          </a:p>
        </c:txPr>
        <c:crossAx val="987227136"/>
        <c:crossesAt val="0"/>
        <c:crossBetween val="midCat"/>
      </c:valAx>
      <c:spPr>
        <a:noFill/>
        <a:ln w="25400">
          <a:noFill/>
        </a:ln>
      </c:spPr>
    </c:plotArea>
    <c:legend>
      <c:legendPos val="b"/>
      <c:layout>
        <c:manualLayout>
          <c:xMode val="edge"/>
          <c:yMode val="edge"/>
          <c:x val="0.34117677937317054"/>
          <c:y val="0.92402550297229269"/>
          <c:w val="0.23823549997426988"/>
          <c:h val="5.9548254620123413E-2"/>
        </c:manualLayout>
      </c:layout>
      <c:overlay val="0"/>
      <c:spPr>
        <a:noFill/>
        <a:ln w="25400">
          <a:noFill/>
        </a:ln>
      </c:spPr>
      <c:txPr>
        <a:bodyPr/>
        <a:lstStyle/>
        <a:p>
          <a:pPr>
            <a:defRPr sz="1085" b="0" i="0" u="none" strike="noStrike" baseline="0">
              <a:solidFill>
                <a:srgbClr val="000000"/>
              </a:solidFill>
              <a:latin typeface="Times New Roman"/>
              <a:ea typeface="Times New Roman"/>
              <a:cs typeface="Times New Roman"/>
            </a:defRPr>
          </a:pPr>
          <a:endParaRPr lang="en-US"/>
        </a:p>
      </c:txPr>
    </c:legend>
    <c:plotVisOnly val="1"/>
    <c:dispBlanksAs val="gap"/>
    <c:showDLblsOverMax val="0"/>
  </c:chart>
  <c:spPr>
    <a:solidFill>
      <a:srgbClr val="FFFFFF"/>
    </a:solidFill>
    <a:ln w="9525">
      <a:noFill/>
    </a:ln>
  </c:spPr>
  <c:txPr>
    <a:bodyPr/>
    <a:lstStyle/>
    <a:p>
      <a:pPr>
        <a:defRPr sz="1025" b="0" i="0" u="none" strike="noStrike" baseline="0">
          <a:solidFill>
            <a:srgbClr val="000000"/>
          </a:solidFill>
          <a:latin typeface="Times New Roman"/>
          <a:ea typeface="Times New Roman"/>
          <a:cs typeface="Times New Roman"/>
        </a:defRPr>
      </a:pPr>
      <a:endParaRPr lang="en-US"/>
    </a:p>
  </c:txPr>
  <c:printSettings>
    <c:headerFooter alignWithMargins="0"/>
    <c:pageMargins b="1" l="0.75000000000000477" r="0.75000000000000477" t="1" header="0.5" footer="0.5"/>
    <c:pageSetup paperSize="9" orientation="landscape"/>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367021560228218"/>
          <c:y val="4.4768224536449429E-2"/>
          <c:w val="0.63851371287392689"/>
          <c:h val="0.82426054102108159"/>
        </c:manualLayout>
      </c:layout>
      <c:scatterChart>
        <c:scatterStyle val="lineMarker"/>
        <c:varyColors val="0"/>
        <c:ser>
          <c:idx val="1"/>
          <c:order val="0"/>
          <c:tx>
            <c:v>Smoothed adjusted rates</c:v>
          </c:tx>
          <c:spPr>
            <a:ln w="15875">
              <a:solidFill>
                <a:srgbClr val="FF00FF"/>
              </a:solidFill>
            </a:ln>
          </c:spPr>
          <c:marker>
            <c:symbol val="none"/>
          </c:marker>
          <c:xVal>
            <c:numRef>
              <c:f>'Life expectancies'!$Q$8:$Q$23</c:f>
              <c:numCache>
                <c:formatCode>General</c:formatCode>
                <c:ptCount val="16"/>
                <c:pt idx="0">
                  <c:v>5</c:v>
                </c:pt>
                <c:pt idx="1">
                  <c:v>10</c:v>
                </c:pt>
                <c:pt idx="2">
                  <c:v>15</c:v>
                </c:pt>
                <c:pt idx="3">
                  <c:v>20</c:v>
                </c:pt>
                <c:pt idx="4">
                  <c:v>25</c:v>
                </c:pt>
                <c:pt idx="5">
                  <c:v>30</c:v>
                </c:pt>
                <c:pt idx="6">
                  <c:v>35</c:v>
                </c:pt>
                <c:pt idx="7">
                  <c:v>40</c:v>
                </c:pt>
                <c:pt idx="8">
                  <c:v>45</c:v>
                </c:pt>
                <c:pt idx="9">
                  <c:v>50</c:v>
                </c:pt>
                <c:pt idx="10">
                  <c:v>55</c:v>
                </c:pt>
                <c:pt idx="11">
                  <c:v>60</c:v>
                </c:pt>
                <c:pt idx="12">
                  <c:v>65</c:v>
                </c:pt>
                <c:pt idx="13">
                  <c:v>70</c:v>
                </c:pt>
                <c:pt idx="14">
                  <c:v>75</c:v>
                </c:pt>
                <c:pt idx="15">
                  <c:v>80</c:v>
                </c:pt>
              </c:numCache>
            </c:numRef>
          </c:xVal>
          <c:yVal>
            <c:numRef>
              <c:f>'Life expectancies'!$P$8:$P$23</c:f>
              <c:numCache>
                <c:formatCode>0.0000</c:formatCode>
                <c:ptCount val="16"/>
                <c:pt idx="0">
                  <c:v>2.5223355717386769E-3</c:v>
                </c:pt>
                <c:pt idx="1">
                  <c:v>1.9202712549441095E-3</c:v>
                </c:pt>
                <c:pt idx="2">
                  <c:v>2.785475998546665E-3</c:v>
                </c:pt>
                <c:pt idx="3">
                  <c:v>3.6356716387741543E-3</c:v>
                </c:pt>
                <c:pt idx="4">
                  <c:v>4.1301521211149642E-3</c:v>
                </c:pt>
                <c:pt idx="5">
                  <c:v>4.7161060695521725E-3</c:v>
                </c:pt>
                <c:pt idx="6">
                  <c:v>5.4471001622209744E-3</c:v>
                </c:pt>
                <c:pt idx="7">
                  <c:v>6.451259180925214E-3</c:v>
                </c:pt>
                <c:pt idx="8">
                  <c:v>8.0679414876221964E-3</c:v>
                </c:pt>
                <c:pt idx="9">
                  <c:v>1.1109456142744587E-2</c:v>
                </c:pt>
                <c:pt idx="10">
                  <c:v>1.5465208159939681E-2</c:v>
                </c:pt>
                <c:pt idx="11">
                  <c:v>2.3468859648944431E-2</c:v>
                </c:pt>
                <c:pt idx="12">
                  <c:v>3.5740337210525941E-2</c:v>
                </c:pt>
                <c:pt idx="13">
                  <c:v>5.7037969535964579E-2</c:v>
                </c:pt>
                <c:pt idx="14">
                  <c:v>9.0272564773907993E-2</c:v>
                </c:pt>
                <c:pt idx="15">
                  <c:v>0.14048833441518813</c:v>
                </c:pt>
              </c:numCache>
            </c:numRef>
          </c:yVal>
          <c:smooth val="0"/>
          <c:extLst>
            <c:ext xmlns:c16="http://schemas.microsoft.com/office/drawing/2014/chart" uri="{C3380CC4-5D6E-409C-BE32-E72D297353CC}">
              <c16:uniqueId val="{00000000-0571-452E-AC23-8E433118E237}"/>
            </c:ext>
          </c:extLst>
        </c:ser>
        <c:ser>
          <c:idx val="0"/>
          <c:order val="1"/>
          <c:tx>
            <c:v>Observed adjusted rates</c:v>
          </c:tx>
          <c:spPr>
            <a:ln>
              <a:noFill/>
            </a:ln>
          </c:spPr>
          <c:marker>
            <c:symbol val="diamond"/>
            <c:size val="5"/>
            <c:spPr>
              <a:solidFill>
                <a:schemeClr val="tx2"/>
              </a:solidFill>
              <a:ln>
                <a:solidFill>
                  <a:schemeClr val="tx2"/>
                </a:solidFill>
              </a:ln>
            </c:spPr>
          </c:marker>
          <c:xVal>
            <c:numRef>
              <c:f>'Life expectancies'!$Q$8:$Q$23</c:f>
              <c:numCache>
                <c:formatCode>General</c:formatCode>
                <c:ptCount val="16"/>
                <c:pt idx="0">
                  <c:v>5</c:v>
                </c:pt>
                <c:pt idx="1">
                  <c:v>10</c:v>
                </c:pt>
                <c:pt idx="2">
                  <c:v>15</c:v>
                </c:pt>
                <c:pt idx="3">
                  <c:v>20</c:v>
                </c:pt>
                <c:pt idx="4">
                  <c:v>25</c:v>
                </c:pt>
                <c:pt idx="5">
                  <c:v>30</c:v>
                </c:pt>
                <c:pt idx="6">
                  <c:v>35</c:v>
                </c:pt>
                <c:pt idx="7">
                  <c:v>40</c:v>
                </c:pt>
                <c:pt idx="8">
                  <c:v>45</c:v>
                </c:pt>
                <c:pt idx="9">
                  <c:v>50</c:v>
                </c:pt>
                <c:pt idx="10">
                  <c:v>55</c:v>
                </c:pt>
                <c:pt idx="11">
                  <c:v>60</c:v>
                </c:pt>
                <c:pt idx="12">
                  <c:v>65</c:v>
                </c:pt>
                <c:pt idx="13">
                  <c:v>70</c:v>
                </c:pt>
                <c:pt idx="14">
                  <c:v>75</c:v>
                </c:pt>
                <c:pt idx="15">
                  <c:v>80</c:v>
                </c:pt>
              </c:numCache>
            </c:numRef>
          </c:xVal>
          <c:yVal>
            <c:numRef>
              <c:f>'Life expectancies'!$E$8:$E$23</c:f>
              <c:numCache>
                <c:formatCode>0.0000</c:formatCode>
                <c:ptCount val="16"/>
                <c:pt idx="0">
                  <c:v>3.6390372803447243E-3</c:v>
                </c:pt>
                <c:pt idx="1">
                  <c:v>1.6240784923539039E-3</c:v>
                </c:pt>
                <c:pt idx="2">
                  <c:v>2.4142235453192703E-3</c:v>
                </c:pt>
                <c:pt idx="3">
                  <c:v>2.9099143253009593E-3</c:v>
                </c:pt>
                <c:pt idx="4">
                  <c:v>3.3552125180395403E-3</c:v>
                </c:pt>
                <c:pt idx="5">
                  <c:v>4.6001592421050152E-3</c:v>
                </c:pt>
                <c:pt idx="6">
                  <c:v>5.4303559122616208E-3</c:v>
                </c:pt>
                <c:pt idx="7">
                  <c:v>6.7364143577881433E-3</c:v>
                </c:pt>
                <c:pt idx="8">
                  <c:v>8.7684746566746592E-3</c:v>
                </c:pt>
                <c:pt idx="9">
                  <c:v>1.1314575200537058E-2</c:v>
                </c:pt>
                <c:pt idx="10">
                  <c:v>1.6792588862800099E-2</c:v>
                </c:pt>
                <c:pt idx="11">
                  <c:v>2.5083137420257268E-2</c:v>
                </c:pt>
                <c:pt idx="12">
                  <c:v>3.4052064789057132E-2</c:v>
                </c:pt>
                <c:pt idx="13">
                  <c:v>5.1046207923351766E-2</c:v>
                </c:pt>
                <c:pt idx="14">
                  <c:v>9.5313935536319935E-2</c:v>
                </c:pt>
                <c:pt idx="15">
                  <c:v>#N/A</c:v>
                </c:pt>
              </c:numCache>
            </c:numRef>
          </c:yVal>
          <c:smooth val="0"/>
          <c:extLst>
            <c:ext xmlns:c16="http://schemas.microsoft.com/office/drawing/2014/chart" uri="{C3380CC4-5D6E-409C-BE32-E72D297353CC}">
              <c16:uniqueId val="{00000001-0571-452E-AC23-8E433118E237}"/>
            </c:ext>
          </c:extLst>
        </c:ser>
        <c:dLbls>
          <c:showLegendKey val="0"/>
          <c:showVal val="0"/>
          <c:showCatName val="0"/>
          <c:showSerName val="0"/>
          <c:showPercent val="0"/>
          <c:showBubbleSize val="0"/>
        </c:dLbls>
        <c:axId val="958628448"/>
        <c:axId val="958629008"/>
      </c:scatterChart>
      <c:valAx>
        <c:axId val="958628448"/>
        <c:scaling>
          <c:orientation val="minMax"/>
          <c:max val="80"/>
        </c:scaling>
        <c:delete val="0"/>
        <c:axPos val="b"/>
        <c:numFmt formatCode="General" sourceLinked="1"/>
        <c:majorTickMark val="out"/>
        <c:minorTickMark val="none"/>
        <c:tickLblPos val="nextTo"/>
        <c:crossAx val="958629008"/>
        <c:crosses val="autoZero"/>
        <c:crossBetween val="midCat"/>
      </c:valAx>
      <c:valAx>
        <c:axId val="958629008"/>
        <c:scaling>
          <c:orientation val="minMax"/>
        </c:scaling>
        <c:delete val="0"/>
        <c:axPos val="l"/>
        <c:majorGridlines/>
        <c:title>
          <c:tx>
            <c:rich>
              <a:bodyPr rot="-5400000" vert="horz"/>
              <a:lstStyle/>
              <a:p>
                <a:pPr>
                  <a:defRPr/>
                </a:pPr>
                <a:r>
                  <a:rPr lang="en-US"/>
                  <a:t>5mx</a:t>
                </a:r>
              </a:p>
            </c:rich>
          </c:tx>
          <c:overlay val="0"/>
        </c:title>
        <c:numFmt formatCode="0.00" sourceLinked="0"/>
        <c:majorTickMark val="out"/>
        <c:minorTickMark val="none"/>
        <c:tickLblPos val="nextTo"/>
        <c:crossAx val="958628448"/>
        <c:crosses val="autoZero"/>
        <c:crossBetween val="midCat"/>
      </c:valAx>
    </c:plotArea>
    <c:legend>
      <c:legendPos val="r"/>
      <c:layout>
        <c:manualLayout>
          <c:xMode val="edge"/>
          <c:yMode val="edge"/>
          <c:x val="0.77007891790050276"/>
          <c:y val="0.42708502667005332"/>
          <c:w val="0.21637706404080981"/>
          <c:h val="0.36032565740603184"/>
        </c:manualLayout>
      </c:layout>
      <c:overlay val="0"/>
      <c:spPr>
        <a:solidFill>
          <a:srgbClr val="FFEB9B"/>
        </a:solidFill>
      </c:spPr>
    </c:legend>
    <c:plotVisOnly val="1"/>
    <c:dispBlanksAs val="gap"/>
    <c:showDLblsOverMax val="0"/>
  </c:chart>
  <c:spPr>
    <a:ln>
      <a:noFill/>
    </a:ln>
  </c:spPr>
  <c:printSettings>
    <c:headerFooter/>
    <c:pageMargins b="0.75000000000000211" l="0.70000000000000062" r="0.70000000000000062" t="0.75000000000000211"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3996342989957195"/>
          <c:y val="0.1416466253392088"/>
          <c:w val="0.81583940463751714"/>
          <c:h val="0.7236842105263217"/>
        </c:manualLayout>
      </c:layout>
      <c:lineChart>
        <c:grouping val="standard"/>
        <c:varyColors val="0"/>
        <c:ser>
          <c:idx val="0"/>
          <c:order val="0"/>
          <c:tx>
            <c:v>c: N(x to x+5)</c:v>
          </c:tx>
          <c:spPr>
            <a:ln w="28575">
              <a:solidFill>
                <a:srgbClr val="000080"/>
              </a:solidFill>
              <a:prstDash val="solid"/>
            </a:ln>
          </c:spPr>
          <c:marker>
            <c:symbol val="none"/>
          </c:marker>
          <c:cat>
            <c:strRef>
              <c:f>Method!$A$8:$A$24</c:f>
              <c:strCache>
                <c:ptCount val="16"/>
                <c:pt idx="0">
                  <c:v>0- 4</c:v>
                </c:pt>
                <c:pt idx="1">
                  <c:v>5- 9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c:v>
                </c:pt>
              </c:strCache>
            </c:strRef>
          </c:cat>
          <c:val>
            <c:numRef>
              <c:f>Method!$H$8:$H$24</c:f>
              <c:numCache>
                <c:formatCode>0.0000</c:formatCode>
                <c:ptCount val="17"/>
                <c:pt idx="1">
                  <c:v>0.85767324292370872</c:v>
                </c:pt>
                <c:pt idx="2">
                  <c:v>0.92331583543897167</c:v>
                </c:pt>
                <c:pt idx="3">
                  <c:v>0.93844977880718949</c:v>
                </c:pt>
                <c:pt idx="4">
                  <c:v>0.87569900715767091</c:v>
                </c:pt>
                <c:pt idx="5">
                  <c:v>0.9159908993591217</c:v>
                </c:pt>
                <c:pt idx="6">
                  <c:v>0.90948616059413301</c:v>
                </c:pt>
                <c:pt idx="7">
                  <c:v>0.81027895564263985</c:v>
                </c:pt>
                <c:pt idx="8">
                  <c:v>0.86248511133303185</c:v>
                </c:pt>
                <c:pt idx="9">
                  <c:v>0.87707060035056739</c:v>
                </c:pt>
                <c:pt idx="10">
                  <c:v>0.8558503702834368</c:v>
                </c:pt>
                <c:pt idx="11">
                  <c:v>1.0157742392642617</c:v>
                </c:pt>
                <c:pt idx="12">
                  <c:v>0.69681740533859793</c:v>
                </c:pt>
                <c:pt idx="13">
                  <c:v>0.99987389570854579</c:v>
                </c:pt>
                <c:pt idx="14">
                  <c:v>0.94865538101645619</c:v>
                </c:pt>
                <c:pt idx="15">
                  <c:v>#N/A</c:v>
                </c:pt>
                <c:pt idx="16">
                  <c:v>#N/A</c:v>
                </c:pt>
              </c:numCache>
            </c:numRef>
          </c:val>
          <c:smooth val="0"/>
          <c:extLst>
            <c:ext xmlns:c16="http://schemas.microsoft.com/office/drawing/2014/chart" uri="{C3380CC4-5D6E-409C-BE32-E72D297353CC}">
              <c16:uniqueId val="{00000000-2A17-4A22-B781-6DB032DE3551}"/>
            </c:ext>
          </c:extLst>
        </c:ser>
        <c:ser>
          <c:idx val="1"/>
          <c:order val="1"/>
          <c:tx>
            <c:v>c: N(x to A)</c:v>
          </c:tx>
          <c:spPr>
            <a:ln w="28575">
              <a:solidFill>
                <a:srgbClr val="FF00FF"/>
              </a:solidFill>
              <a:prstDash val="solid"/>
            </a:ln>
          </c:spPr>
          <c:marker>
            <c:symbol val="none"/>
          </c:marker>
          <c:cat>
            <c:strRef>
              <c:f>Method!$A$8:$A$24</c:f>
              <c:strCache>
                <c:ptCount val="16"/>
                <c:pt idx="0">
                  <c:v>0- 4</c:v>
                </c:pt>
                <c:pt idx="1">
                  <c:v>5- 9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c:v>
                </c:pt>
              </c:strCache>
            </c:strRef>
          </c:cat>
          <c:val>
            <c:numRef>
              <c:f>Method!$I$8:$I$24</c:f>
              <c:numCache>
                <c:formatCode>0.0000</c:formatCode>
                <c:ptCount val="17"/>
                <c:pt idx="1">
                  <c:v>0.8878951604773403</c:v>
                </c:pt>
                <c:pt idx="2">
                  <c:v>0.89462936113152003</c:v>
                </c:pt>
                <c:pt idx="3">
                  <c:v>0.88853773362993649</c:v>
                </c:pt>
                <c:pt idx="4">
                  <c:v>0.87776175996991579</c:v>
                </c:pt>
                <c:pt idx="5">
                  <c:v>0.87826448146664782</c:v>
                </c:pt>
                <c:pt idx="6">
                  <c:v>0.86901832861541595</c:v>
                </c:pt>
                <c:pt idx="7">
                  <c:v>0.85840459672355773</c:v>
                </c:pt>
                <c:pt idx="8">
                  <c:v>0.87411961943532601</c:v>
                </c:pt>
                <c:pt idx="9">
                  <c:v>0.87810053581022063</c:v>
                </c:pt>
                <c:pt idx="10">
                  <c:v>0.87849640450813182</c:v>
                </c:pt>
                <c:pt idx="11">
                  <c:v>0.88921383253917285</c:v>
                </c:pt>
                <c:pt idx="12">
                  <c:v>0.82951070354873302</c:v>
                </c:pt>
                <c:pt idx="13">
                  <c:v>0.97794323511299897</c:v>
                </c:pt>
                <c:pt idx="14">
                  <c:v>0.94865538101645619</c:v>
                </c:pt>
                <c:pt idx="15">
                  <c:v>#N/A</c:v>
                </c:pt>
                <c:pt idx="16">
                  <c:v>#N/A</c:v>
                </c:pt>
              </c:numCache>
            </c:numRef>
          </c:val>
          <c:smooth val="0"/>
          <c:extLst>
            <c:ext xmlns:c16="http://schemas.microsoft.com/office/drawing/2014/chart" uri="{C3380CC4-5D6E-409C-BE32-E72D297353CC}">
              <c16:uniqueId val="{00000001-2A17-4A22-B781-6DB032DE3551}"/>
            </c:ext>
          </c:extLst>
        </c:ser>
        <c:dLbls>
          <c:showLegendKey val="0"/>
          <c:showVal val="0"/>
          <c:showCatName val="0"/>
          <c:showSerName val="0"/>
          <c:showPercent val="0"/>
          <c:showBubbleSize val="0"/>
        </c:dLbls>
        <c:smooth val="0"/>
        <c:axId val="958756928"/>
        <c:axId val="958757488"/>
      </c:lineChart>
      <c:catAx>
        <c:axId val="958756928"/>
        <c:scaling>
          <c:orientation val="minMax"/>
        </c:scaling>
        <c:delete val="0"/>
        <c:axPos val="b"/>
        <c:numFmt formatCode="General" sourceLinked="1"/>
        <c:majorTickMark val="cross"/>
        <c:minorTickMark val="none"/>
        <c:tickLblPos val="nextTo"/>
        <c:spPr>
          <a:ln w="3175">
            <a:solidFill>
              <a:srgbClr val="000000"/>
            </a:solidFill>
            <a:prstDash val="solid"/>
          </a:ln>
        </c:spPr>
        <c:txPr>
          <a:bodyPr rot="-5400000" vert="horz"/>
          <a:lstStyle/>
          <a:p>
            <a:pPr>
              <a:defRPr/>
            </a:pPr>
            <a:endParaRPr lang="en-US"/>
          </a:p>
        </c:txPr>
        <c:crossAx val="958757488"/>
        <c:crossesAt val="1"/>
        <c:auto val="0"/>
        <c:lblAlgn val="ctr"/>
        <c:lblOffset val="100"/>
        <c:tickLblSkip val="2"/>
        <c:tickMarkSkip val="1"/>
        <c:noMultiLvlLbl val="0"/>
      </c:catAx>
      <c:valAx>
        <c:axId val="958757488"/>
        <c:scaling>
          <c:orientation val="minMax"/>
          <c:max val="1.5"/>
          <c:min val="0.5"/>
        </c:scaling>
        <c:delete val="0"/>
        <c:axPos val="l"/>
        <c:majorGridlines>
          <c:spPr>
            <a:ln w="3175">
              <a:solidFill>
                <a:srgbClr val="C0C0C0"/>
              </a:solidFill>
              <a:prstDash val="sysDash"/>
            </a:ln>
          </c:spPr>
        </c:majorGridlines>
        <c:title>
          <c:tx>
            <c:rich>
              <a:bodyPr rot="-5400000" vert="horz"/>
              <a:lstStyle/>
              <a:p>
                <a:pPr>
                  <a:defRPr b="1"/>
                </a:pPr>
                <a:r>
                  <a:rPr lang="en-US" b="1"/>
                  <a:t>Completeness</a:t>
                </a:r>
              </a:p>
            </c:rich>
          </c:tx>
          <c:overlay val="0"/>
        </c:title>
        <c:numFmt formatCode="0.00" sourceLinked="0"/>
        <c:majorTickMark val="out"/>
        <c:minorTickMark val="none"/>
        <c:tickLblPos val="nextTo"/>
        <c:spPr>
          <a:ln w="3175">
            <a:solidFill>
              <a:srgbClr val="000000"/>
            </a:solidFill>
            <a:prstDash val="solid"/>
          </a:ln>
        </c:spPr>
        <c:txPr>
          <a:bodyPr rot="0" vert="horz"/>
          <a:lstStyle/>
          <a:p>
            <a:pPr>
              <a:defRPr/>
            </a:pPr>
            <a:endParaRPr lang="en-US"/>
          </a:p>
        </c:txPr>
        <c:crossAx val="958756928"/>
        <c:crosses val="autoZero"/>
        <c:crossBetween val="midCat"/>
        <c:majorUnit val="0.1"/>
      </c:valAx>
      <c:spPr>
        <a:solidFill>
          <a:srgbClr val="FFFFFF"/>
        </a:solidFill>
        <a:ln w="25400">
          <a:noFill/>
        </a:ln>
      </c:spPr>
    </c:plotArea>
    <c:legend>
      <c:legendPos val="b"/>
      <c:layout>
        <c:manualLayout>
          <c:xMode val="edge"/>
          <c:yMode val="edge"/>
          <c:x val="0.19337055243785117"/>
          <c:y val="0.88947368421052631"/>
          <c:w val="0.69245051550876568"/>
          <c:h val="9.4736842105265215E-2"/>
        </c:manualLayout>
      </c:layout>
      <c:overlay val="0"/>
      <c:spPr>
        <a:noFill/>
        <a:ln w="25400">
          <a:noFill/>
        </a:ln>
      </c:spPr>
    </c:legend>
    <c:plotVisOnly val="1"/>
    <c:dispBlanksAs val="gap"/>
    <c:showDLblsOverMax val="0"/>
  </c:chart>
  <c:spPr>
    <a:solidFill>
      <a:srgbClr val="D7E6E6"/>
    </a:solidFill>
    <a:ln w="9525">
      <a:noFill/>
    </a:ln>
  </c:spPr>
  <c:txPr>
    <a:bodyPr/>
    <a:lstStyle/>
    <a:p>
      <a:pPr>
        <a:defRPr sz="1200" b="0" i="0" u="none" strike="noStrike" baseline="0">
          <a:solidFill>
            <a:srgbClr val="000000"/>
          </a:solidFill>
          <a:latin typeface="Verdana" pitchFamily="34" charset="0"/>
          <a:ea typeface="Verdana" pitchFamily="34" charset="0"/>
          <a:cs typeface="Verdana" pitchFamily="34" charset="0"/>
        </a:defRPr>
      </a:pPr>
      <a:endParaRPr lang="en-US"/>
    </a:p>
  </c:txPr>
  <c:printSettings>
    <c:headerFooter alignWithMargins="0"/>
    <c:pageMargins b="1" l="0.75000000000000466" r="0.75000000000000466" t="1" header="0.5" footer="0.5"/>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8942229605020414"/>
          <c:y val="0.15722823340825601"/>
          <c:w val="0.75212009351544595"/>
          <c:h val="0.63414005192270861"/>
        </c:manualLayout>
      </c:layout>
      <c:scatterChart>
        <c:scatterStyle val="lineMarker"/>
        <c:varyColors val="0"/>
        <c:ser>
          <c:idx val="0"/>
          <c:order val="0"/>
          <c:tx>
            <c:v>Observations</c:v>
          </c:tx>
          <c:spPr>
            <a:ln>
              <a:noFill/>
            </a:ln>
          </c:spPr>
          <c:marker>
            <c:symbol val="square"/>
            <c:size val="5"/>
          </c:marker>
          <c:xVal>
            <c:numRef>
              <c:f>'Life expectancies'!$K$9:$K$25</c:f>
              <c:numCache>
                <c:formatCode>0.0000_)</c:formatCode>
                <c:ptCount val="17"/>
                <c:pt idx="0">
                  <c:v>-2.2505979342666698</c:v>
                </c:pt>
                <c:pt idx="1">
                  <c:v>-1.9585498746774208</c:v>
                </c:pt>
                <c:pt idx="2">
                  <c:v>-1.7059635215249491</c:v>
                </c:pt>
                <c:pt idx="3">
                  <c:v>-1.4928261749237073</c:v>
                </c:pt>
                <c:pt idx="4">
                  <c:v>-1.3226452410536844</c:v>
                </c:pt>
                <c:pt idx="5">
                  <c:v>-1.1766131886173843</c:v>
                </c:pt>
                <c:pt idx="6">
                  <c:v>-1.0446781483104151</c:v>
                </c:pt>
                <c:pt idx="7">
                  <c:v>-0.91944057379661248</c:v>
                </c:pt>
                <c:pt idx="8">
                  <c:v>-0.7925048820508992</c:v>
                </c:pt>
                <c:pt idx="9">
                  <c:v>-0.65144477232807607</c:v>
                </c:pt>
                <c:pt idx="10">
                  <c:v>-0.49464794039967175</c:v>
                </c:pt>
                <c:pt idx="11">
                  <c:v>-0.30738762512432866</c:v>
                </c:pt>
                <c:pt idx="12">
                  <c:v>-8.560519582249751E-2</c:v>
                </c:pt>
                <c:pt idx="13">
                  <c:v>0.18983445421266135</c:v>
                </c:pt>
                <c:pt idx="14">
                  <c:v>0.53729909217546867</c:v>
                </c:pt>
                <c:pt idx="15">
                  <c:v>0.99559980067780607</c:v>
                </c:pt>
                <c:pt idx="16">
                  <c:v>1.6443047888384308</c:v>
                </c:pt>
              </c:numCache>
            </c:numRef>
          </c:xVal>
          <c:yVal>
            <c:numRef>
              <c:f>'Life expectancies'!$I$9:$I$25</c:f>
              <c:numCache>
                <c:formatCode>0.0000_)</c:formatCode>
                <c:ptCount val="17"/>
                <c:pt idx="0">
                  <c:v>-1.9987294871424932</c:v>
                </c:pt>
                <c:pt idx="1">
                  <c:v>-1.8121932363603905</c:v>
                </c:pt>
                <c:pt idx="2">
                  <c:v>-1.6203855850947102</c:v>
                </c:pt>
                <c:pt idx="3">
                  <c:v>-1.4560316304358509</c:v>
                </c:pt>
                <c:pt idx="4">
                  <c:v>-1.314149732926158</c:v>
                </c:pt>
                <c:pt idx="5">
                  <c:v>-1.1657519459519468</c:v>
                </c:pt>
                <c:pt idx="6">
                  <c:v>-1.0304116397954042</c:v>
                </c:pt>
                <c:pt idx="7">
                  <c:v>-0.89797119838294659</c:v>
                </c:pt>
                <c:pt idx="8">
                  <c:v>-0.76109002051452157</c:v>
                </c:pt>
                <c:pt idx="9">
                  <c:v>-0.62038596146096137</c:v>
                </c:pt>
                <c:pt idx="10">
                  <c:v>-0.45547010304132213</c:v>
                </c:pt>
                <c:pt idx="11">
                  <c:v>-0.26401806904423758</c:v>
                </c:pt>
                <c:pt idx="12">
                  <c:v>-6.073249653783061E-2</c:v>
                </c:pt>
                <c:pt idx="13">
                  <c:v>0.1813807845802235</c:v>
                </c:pt>
                <c:pt idx="14">
                  <c:v>#N/A</c:v>
                </c:pt>
                <c:pt idx="15">
                  <c:v>#N/A</c:v>
                </c:pt>
                <c:pt idx="16">
                  <c:v>#N/A</c:v>
                </c:pt>
              </c:numCache>
            </c:numRef>
          </c:yVal>
          <c:smooth val="0"/>
          <c:extLst>
            <c:ext xmlns:c16="http://schemas.microsoft.com/office/drawing/2014/chart" uri="{C3380CC4-5D6E-409C-BE32-E72D297353CC}">
              <c16:uniqueId val="{00000000-A317-4EF2-835E-8A5E20D08484}"/>
            </c:ext>
          </c:extLst>
        </c:ser>
        <c:ser>
          <c:idx val="1"/>
          <c:order val="1"/>
          <c:tx>
            <c:v>Fit</c:v>
          </c:tx>
          <c:spPr>
            <a:ln>
              <a:solidFill>
                <a:srgbClr val="FF66FF"/>
              </a:solidFill>
              <a:prstDash val="solid"/>
            </a:ln>
          </c:spPr>
          <c:marker>
            <c:symbol val="none"/>
          </c:marker>
          <c:xVal>
            <c:numRef>
              <c:f>'Life expectancies'!$K$9:$K$25</c:f>
              <c:numCache>
                <c:formatCode>0.0000_)</c:formatCode>
                <c:ptCount val="17"/>
                <c:pt idx="0">
                  <c:v>-2.2505979342666698</c:v>
                </c:pt>
                <c:pt idx="1">
                  <c:v>-1.9585498746774208</c:v>
                </c:pt>
                <c:pt idx="2">
                  <c:v>-1.7059635215249491</c:v>
                </c:pt>
                <c:pt idx="3">
                  <c:v>-1.4928261749237073</c:v>
                </c:pt>
                <c:pt idx="4">
                  <c:v>-1.3226452410536844</c:v>
                </c:pt>
                <c:pt idx="5">
                  <c:v>-1.1766131886173843</c:v>
                </c:pt>
                <c:pt idx="6">
                  <c:v>-1.0446781483104151</c:v>
                </c:pt>
                <c:pt idx="7">
                  <c:v>-0.91944057379661248</c:v>
                </c:pt>
                <c:pt idx="8">
                  <c:v>-0.7925048820508992</c:v>
                </c:pt>
                <c:pt idx="9">
                  <c:v>-0.65144477232807607</c:v>
                </c:pt>
                <c:pt idx="10">
                  <c:v>-0.49464794039967175</c:v>
                </c:pt>
                <c:pt idx="11">
                  <c:v>-0.30738762512432866</c:v>
                </c:pt>
                <c:pt idx="12">
                  <c:v>-8.560519582249751E-2</c:v>
                </c:pt>
                <c:pt idx="13">
                  <c:v>0.18983445421266135</c:v>
                </c:pt>
                <c:pt idx="14">
                  <c:v>0.53729909217546867</c:v>
                </c:pt>
                <c:pt idx="15">
                  <c:v>0.99559980067780607</c:v>
                </c:pt>
                <c:pt idx="16">
                  <c:v>1.6443047888384308</c:v>
                </c:pt>
              </c:numCache>
            </c:numRef>
          </c:xVal>
          <c:yVal>
            <c:numRef>
              <c:f>'Life expectancies'!$L$9:$L$25</c:f>
              <c:numCache>
                <c:formatCode>0.0000_)</c:formatCode>
                <c:ptCount val="17"/>
                <c:pt idx="0">
                  <c:v>-2.183403137679933</c:v>
                </c:pt>
                <c:pt idx="1">
                  <c:v>-1.8979689980755112</c:v>
                </c:pt>
                <c:pt idx="2">
                  <c:v>-1.6511028881301306</c:v>
                </c:pt>
                <c:pt idx="3">
                  <c:v>-1.4427923955685342</c:v>
                </c:pt>
                <c:pt idx="4">
                  <c:v>-1.2764654954528956</c:v>
                </c:pt>
                <c:pt idx="5">
                  <c:v>-1.1337405846952362</c:v>
                </c:pt>
                <c:pt idx="6">
                  <c:v>-1.0047934354943147</c:v>
                </c:pt>
                <c:pt idx="7">
                  <c:v>-0.88239207669820263</c:v>
                </c:pt>
                <c:pt idx="8">
                  <c:v>-0.75833105739374973</c:v>
                </c:pt>
                <c:pt idx="9">
                  <c:v>-0.62046549133634177</c:v>
                </c:pt>
                <c:pt idx="10">
                  <c:v>-0.46721958764114446</c:v>
                </c:pt>
                <c:pt idx="11">
                  <c:v>-0.28420009746598002</c:v>
                </c:pt>
                <c:pt idx="12">
                  <c:v>-6.7440304655916258E-2</c:v>
                </c:pt>
                <c:pt idx="13">
                  <c:v>0.20176155078973768</c:v>
                </c:pt>
                <c:pt idx="14">
                  <c:v>0.54135726705426368</c:v>
                </c:pt>
                <c:pt idx="15">
                  <c:v>0.98927898444367579</c:v>
                </c:pt>
                <c:pt idx="16">
                  <c:v>1.6232929560247462</c:v>
                </c:pt>
              </c:numCache>
            </c:numRef>
          </c:yVal>
          <c:smooth val="0"/>
          <c:extLst>
            <c:ext xmlns:c16="http://schemas.microsoft.com/office/drawing/2014/chart" uri="{C3380CC4-5D6E-409C-BE32-E72D297353CC}">
              <c16:uniqueId val="{00000001-A317-4EF2-835E-8A5E20D08484}"/>
            </c:ext>
          </c:extLst>
        </c:ser>
        <c:dLbls>
          <c:showLegendKey val="0"/>
          <c:showVal val="0"/>
          <c:showCatName val="0"/>
          <c:showSerName val="0"/>
          <c:showPercent val="0"/>
          <c:showBubbleSize val="0"/>
        </c:dLbls>
        <c:axId val="959153968"/>
        <c:axId val="959154528"/>
      </c:scatterChart>
      <c:valAx>
        <c:axId val="959153968"/>
        <c:scaling>
          <c:orientation val="minMax"/>
        </c:scaling>
        <c:delete val="0"/>
        <c:axPos val="b"/>
        <c:title>
          <c:tx>
            <c:rich>
              <a:bodyPr/>
              <a:lstStyle/>
              <a:p>
                <a:pPr>
                  <a:defRPr/>
                </a:pPr>
                <a:r>
                  <a:rPr lang="en-US"/>
                  <a:t>Ys(x)</a:t>
                </a:r>
              </a:p>
            </c:rich>
          </c:tx>
          <c:overlay val="0"/>
        </c:title>
        <c:numFmt formatCode="0.00" sourceLinked="0"/>
        <c:majorTickMark val="out"/>
        <c:minorTickMark val="none"/>
        <c:tickLblPos val="low"/>
        <c:crossAx val="959154528"/>
        <c:crossesAt val="0"/>
        <c:crossBetween val="midCat"/>
      </c:valAx>
      <c:valAx>
        <c:axId val="959154528"/>
        <c:scaling>
          <c:orientation val="minMax"/>
        </c:scaling>
        <c:delete val="0"/>
        <c:axPos val="l"/>
        <c:majorGridlines>
          <c:spPr>
            <a:ln>
              <a:noFill/>
            </a:ln>
          </c:spPr>
        </c:majorGridlines>
        <c:title>
          <c:tx>
            <c:rich>
              <a:bodyPr rot="-5400000" vert="horz"/>
              <a:lstStyle/>
              <a:p>
                <a:pPr>
                  <a:defRPr/>
                </a:pPr>
                <a:r>
                  <a:rPr lang="en-US"/>
                  <a:t>Y(x)</a:t>
                </a:r>
              </a:p>
            </c:rich>
          </c:tx>
          <c:overlay val="0"/>
        </c:title>
        <c:numFmt formatCode="0.00" sourceLinked="0"/>
        <c:majorTickMark val="out"/>
        <c:minorTickMark val="none"/>
        <c:tickLblPos val="low"/>
        <c:crossAx val="959153968"/>
        <c:crossesAt val="0"/>
        <c:crossBetween val="midCat"/>
      </c:valAx>
      <c:spPr>
        <a:solidFill>
          <a:schemeClr val="bg1"/>
        </a:solidFill>
      </c:spPr>
    </c:plotArea>
    <c:legend>
      <c:legendPos val="b"/>
      <c:overlay val="0"/>
    </c:legend>
    <c:plotVisOnly val="1"/>
    <c:dispBlanksAs val="gap"/>
    <c:showDLblsOverMax val="0"/>
  </c:chart>
  <c:spPr>
    <a:solidFill>
      <a:srgbClr val="D7E6E6"/>
    </a:solidFill>
    <a:ln>
      <a:noFill/>
    </a:ln>
  </c:spPr>
  <c:txPr>
    <a:bodyPr/>
    <a:lstStyle/>
    <a:p>
      <a:pPr>
        <a:defRPr sz="1200">
          <a:latin typeface="Verdana" pitchFamily="34" charset="0"/>
          <a:ea typeface="Verdana" pitchFamily="34" charset="0"/>
          <a:cs typeface="Verdana" pitchFamily="34" charset="0"/>
        </a:defRPr>
      </a:pPr>
      <a:endParaRPr lang="en-US"/>
    </a:p>
  </c:txPr>
  <c:printSettings>
    <c:headerFooter/>
    <c:pageMargins b="0.75000000000000255" l="0.70000000000000062" r="0.70000000000000062" t="0.75000000000000255"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8942229605020425"/>
          <c:y val="0.15722823340825606"/>
          <c:w val="0.75212009351544629"/>
          <c:h val="0.63414005192270861"/>
        </c:manualLayout>
      </c:layout>
      <c:scatterChart>
        <c:scatterStyle val="lineMarker"/>
        <c:varyColors val="0"/>
        <c:ser>
          <c:idx val="0"/>
          <c:order val="0"/>
          <c:tx>
            <c:v>Adjusted</c:v>
          </c:tx>
          <c:spPr>
            <a:ln>
              <a:noFill/>
            </a:ln>
          </c:spPr>
          <c:marker>
            <c:symbol val="square"/>
            <c:size val="5"/>
          </c:marker>
          <c:xVal>
            <c:numRef>
              <c:f>'Life expectancies'!$F$8:$F$23</c:f>
              <c:numCache>
                <c:formatCode>General</c:formatCode>
                <c:ptCount val="16"/>
                <c:pt idx="0">
                  <c:v>5</c:v>
                </c:pt>
                <c:pt idx="1">
                  <c:v>10</c:v>
                </c:pt>
                <c:pt idx="2">
                  <c:v>15</c:v>
                </c:pt>
                <c:pt idx="3">
                  <c:v>20</c:v>
                </c:pt>
                <c:pt idx="4">
                  <c:v>25</c:v>
                </c:pt>
                <c:pt idx="5">
                  <c:v>30</c:v>
                </c:pt>
                <c:pt idx="6">
                  <c:v>35</c:v>
                </c:pt>
                <c:pt idx="7">
                  <c:v>40</c:v>
                </c:pt>
                <c:pt idx="8">
                  <c:v>45</c:v>
                </c:pt>
                <c:pt idx="9">
                  <c:v>50</c:v>
                </c:pt>
                <c:pt idx="10">
                  <c:v>55</c:v>
                </c:pt>
                <c:pt idx="11">
                  <c:v>60</c:v>
                </c:pt>
                <c:pt idx="12">
                  <c:v>65</c:v>
                </c:pt>
                <c:pt idx="13">
                  <c:v>70</c:v>
                </c:pt>
                <c:pt idx="14">
                  <c:v>75</c:v>
                </c:pt>
                <c:pt idx="15">
                  <c:v>80</c:v>
                </c:pt>
              </c:numCache>
            </c:numRef>
          </c:xVal>
          <c:yVal>
            <c:numRef>
              <c:f>'Life expectancies'!$E$8:$E$23</c:f>
              <c:numCache>
                <c:formatCode>0.0000</c:formatCode>
                <c:ptCount val="16"/>
                <c:pt idx="0">
                  <c:v>3.6390372803447243E-3</c:v>
                </c:pt>
                <c:pt idx="1">
                  <c:v>1.6240784923539039E-3</c:v>
                </c:pt>
                <c:pt idx="2">
                  <c:v>2.4142235453192703E-3</c:v>
                </c:pt>
                <c:pt idx="3">
                  <c:v>2.9099143253009593E-3</c:v>
                </c:pt>
                <c:pt idx="4">
                  <c:v>3.3552125180395403E-3</c:v>
                </c:pt>
                <c:pt idx="5">
                  <c:v>4.6001592421050152E-3</c:v>
                </c:pt>
                <c:pt idx="6">
                  <c:v>5.4303559122616208E-3</c:v>
                </c:pt>
                <c:pt idx="7">
                  <c:v>6.7364143577881433E-3</c:v>
                </c:pt>
                <c:pt idx="8">
                  <c:v>8.7684746566746592E-3</c:v>
                </c:pt>
                <c:pt idx="9">
                  <c:v>1.1314575200537058E-2</c:v>
                </c:pt>
                <c:pt idx="10">
                  <c:v>1.6792588862800099E-2</c:v>
                </c:pt>
                <c:pt idx="11">
                  <c:v>2.5083137420257268E-2</c:v>
                </c:pt>
                <c:pt idx="12">
                  <c:v>3.4052064789057132E-2</c:v>
                </c:pt>
                <c:pt idx="13">
                  <c:v>5.1046207923351766E-2</c:v>
                </c:pt>
                <c:pt idx="14">
                  <c:v>9.5313935536319935E-2</c:v>
                </c:pt>
                <c:pt idx="15">
                  <c:v>#N/A</c:v>
                </c:pt>
              </c:numCache>
            </c:numRef>
          </c:yVal>
          <c:smooth val="0"/>
          <c:extLst>
            <c:ext xmlns:c16="http://schemas.microsoft.com/office/drawing/2014/chart" uri="{C3380CC4-5D6E-409C-BE32-E72D297353CC}">
              <c16:uniqueId val="{00000000-74DC-4DFA-9916-BECA9070FA10}"/>
            </c:ext>
          </c:extLst>
        </c:ser>
        <c:ser>
          <c:idx val="1"/>
          <c:order val="1"/>
          <c:tx>
            <c:v>Fitted</c:v>
          </c:tx>
          <c:spPr>
            <a:ln w="28575">
              <a:solidFill>
                <a:srgbClr val="FF00FF"/>
              </a:solidFill>
            </a:ln>
          </c:spPr>
          <c:marker>
            <c:symbol val="none"/>
          </c:marker>
          <c:xVal>
            <c:numRef>
              <c:f>'Life expectancies'!$F$8:$F$23</c:f>
              <c:numCache>
                <c:formatCode>General</c:formatCode>
                <c:ptCount val="16"/>
                <c:pt idx="0">
                  <c:v>5</c:v>
                </c:pt>
                <c:pt idx="1">
                  <c:v>10</c:v>
                </c:pt>
                <c:pt idx="2">
                  <c:v>15</c:v>
                </c:pt>
                <c:pt idx="3">
                  <c:v>20</c:v>
                </c:pt>
                <c:pt idx="4">
                  <c:v>25</c:v>
                </c:pt>
                <c:pt idx="5">
                  <c:v>30</c:v>
                </c:pt>
                <c:pt idx="6">
                  <c:v>35</c:v>
                </c:pt>
                <c:pt idx="7">
                  <c:v>40</c:v>
                </c:pt>
                <c:pt idx="8">
                  <c:v>45</c:v>
                </c:pt>
                <c:pt idx="9">
                  <c:v>50</c:v>
                </c:pt>
                <c:pt idx="10">
                  <c:v>55</c:v>
                </c:pt>
                <c:pt idx="11">
                  <c:v>60</c:v>
                </c:pt>
                <c:pt idx="12">
                  <c:v>65</c:v>
                </c:pt>
                <c:pt idx="13">
                  <c:v>70</c:v>
                </c:pt>
                <c:pt idx="14">
                  <c:v>75</c:v>
                </c:pt>
                <c:pt idx="15">
                  <c:v>80</c:v>
                </c:pt>
              </c:numCache>
            </c:numRef>
          </c:xVal>
          <c:yVal>
            <c:numRef>
              <c:f>'Life expectancies'!$P$8:$P$23</c:f>
              <c:numCache>
                <c:formatCode>0.0000</c:formatCode>
                <c:ptCount val="16"/>
                <c:pt idx="0">
                  <c:v>2.5223355717386769E-3</c:v>
                </c:pt>
                <c:pt idx="1">
                  <c:v>1.9202712549441095E-3</c:v>
                </c:pt>
                <c:pt idx="2">
                  <c:v>2.785475998546665E-3</c:v>
                </c:pt>
                <c:pt idx="3">
                  <c:v>3.6356716387741543E-3</c:v>
                </c:pt>
                <c:pt idx="4">
                  <c:v>4.1301521211149642E-3</c:v>
                </c:pt>
                <c:pt idx="5">
                  <c:v>4.7161060695521725E-3</c:v>
                </c:pt>
                <c:pt idx="6">
                  <c:v>5.4471001622209744E-3</c:v>
                </c:pt>
                <c:pt idx="7">
                  <c:v>6.451259180925214E-3</c:v>
                </c:pt>
                <c:pt idx="8">
                  <c:v>8.0679414876221964E-3</c:v>
                </c:pt>
                <c:pt idx="9">
                  <c:v>1.1109456142744587E-2</c:v>
                </c:pt>
                <c:pt idx="10">
                  <c:v>1.5465208159939681E-2</c:v>
                </c:pt>
                <c:pt idx="11">
                  <c:v>2.3468859648944431E-2</c:v>
                </c:pt>
                <c:pt idx="12">
                  <c:v>3.5740337210525941E-2</c:v>
                </c:pt>
                <c:pt idx="13">
                  <c:v>5.7037969535964579E-2</c:v>
                </c:pt>
                <c:pt idx="14">
                  <c:v>9.0272564773907993E-2</c:v>
                </c:pt>
                <c:pt idx="15">
                  <c:v>0.14048833441518813</c:v>
                </c:pt>
              </c:numCache>
            </c:numRef>
          </c:yVal>
          <c:smooth val="0"/>
          <c:extLst>
            <c:ext xmlns:c16="http://schemas.microsoft.com/office/drawing/2014/chart" uri="{C3380CC4-5D6E-409C-BE32-E72D297353CC}">
              <c16:uniqueId val="{00000001-74DC-4DFA-9916-BECA9070FA10}"/>
            </c:ext>
          </c:extLst>
        </c:ser>
        <c:dLbls>
          <c:showLegendKey val="0"/>
          <c:showVal val="0"/>
          <c:showCatName val="0"/>
          <c:showSerName val="0"/>
          <c:showPercent val="0"/>
          <c:showBubbleSize val="0"/>
        </c:dLbls>
        <c:axId val="959208720"/>
        <c:axId val="959209280"/>
      </c:scatterChart>
      <c:valAx>
        <c:axId val="959208720"/>
        <c:scaling>
          <c:orientation val="minMax"/>
          <c:max val="80"/>
        </c:scaling>
        <c:delete val="0"/>
        <c:axPos val="b"/>
        <c:numFmt formatCode="0" sourceLinked="0"/>
        <c:majorTickMark val="out"/>
        <c:minorTickMark val="none"/>
        <c:tickLblPos val="nextTo"/>
        <c:crossAx val="959209280"/>
        <c:crosses val="autoZero"/>
        <c:crossBetween val="midCat"/>
      </c:valAx>
      <c:valAx>
        <c:axId val="959209280"/>
        <c:scaling>
          <c:orientation val="minMax"/>
        </c:scaling>
        <c:delete val="0"/>
        <c:axPos val="l"/>
        <c:majorGridlines/>
        <c:title>
          <c:tx>
            <c:rich>
              <a:bodyPr rot="-5400000" vert="horz"/>
              <a:lstStyle/>
              <a:p>
                <a:pPr>
                  <a:defRPr/>
                </a:pPr>
                <a:r>
                  <a:rPr lang="en-US"/>
                  <a:t>5mx</a:t>
                </a:r>
              </a:p>
            </c:rich>
          </c:tx>
          <c:overlay val="0"/>
        </c:title>
        <c:numFmt formatCode="0.00" sourceLinked="0"/>
        <c:majorTickMark val="out"/>
        <c:minorTickMark val="none"/>
        <c:tickLblPos val="nextTo"/>
        <c:crossAx val="959208720"/>
        <c:crosses val="autoZero"/>
        <c:crossBetween val="midCat"/>
      </c:valAx>
      <c:spPr>
        <a:solidFill>
          <a:schemeClr val="bg1"/>
        </a:solidFill>
      </c:spPr>
    </c:plotArea>
    <c:legend>
      <c:legendPos val="b"/>
      <c:overlay val="0"/>
    </c:legend>
    <c:plotVisOnly val="1"/>
    <c:dispBlanksAs val="gap"/>
    <c:showDLblsOverMax val="0"/>
  </c:chart>
  <c:spPr>
    <a:solidFill>
      <a:srgbClr val="D7E6E6"/>
    </a:solidFill>
    <a:ln>
      <a:noFill/>
    </a:ln>
  </c:spPr>
  <c:txPr>
    <a:bodyPr/>
    <a:lstStyle/>
    <a:p>
      <a:pPr>
        <a:defRPr sz="1200">
          <a:latin typeface="Verdana" pitchFamily="34" charset="0"/>
          <a:ea typeface="Verdana" pitchFamily="34" charset="0"/>
          <a:cs typeface="Verdana" pitchFamily="34" charset="0"/>
        </a:defRPr>
      </a:pPr>
      <a:endParaRPr lang="en-US"/>
    </a:p>
  </c:txPr>
  <c:printSettings>
    <c:headerFooter/>
    <c:pageMargins b="0.75000000000000278" l="0.70000000000000062" r="0.70000000000000062" t="0.75000000000000278" header="0.30000000000000032" footer="0.30000000000000032"/>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10</xdr:col>
      <xdr:colOff>717550</xdr:colOff>
      <xdr:row>0</xdr:row>
      <xdr:rowOff>28575</xdr:rowOff>
    </xdr:from>
    <xdr:to>
      <xdr:col>19</xdr:col>
      <xdr:colOff>511174</xdr:colOff>
      <xdr:row>18</xdr:row>
      <xdr:rowOff>180975</xdr:rowOff>
    </xdr:to>
    <xdr:graphicFrame macro="">
      <xdr:nvGraphicFramePr>
        <xdr:cNvPr id="6" name="Chart 7">
          <a:extLst>
            <a:ext uri="{FF2B5EF4-FFF2-40B4-BE49-F238E27FC236}">
              <a16:creationId xmlns:a16="http://schemas.microsoft.com/office/drawing/2014/main" id="{00000000-0008-0000-02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17</xdr:col>
      <xdr:colOff>63500</xdr:colOff>
      <xdr:row>0</xdr:row>
      <xdr:rowOff>1</xdr:rowOff>
    </xdr:from>
    <xdr:to>
      <xdr:col>25</xdr:col>
      <xdr:colOff>19050</xdr:colOff>
      <xdr:row>15</xdr:row>
      <xdr:rowOff>1</xdr:rowOff>
    </xdr:to>
    <xdr:graphicFrame macro="">
      <xdr:nvGraphicFramePr>
        <xdr:cNvPr id="2" name="Chart 9">
          <a:extLst>
            <a:ext uri="{FF2B5EF4-FFF2-40B4-BE49-F238E27FC236}">
              <a16:creationId xmlns:a16="http://schemas.microsoft.com/office/drawing/2014/main" id="{00000000-0008-0000-0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19050</xdr:colOff>
      <xdr:row>15</xdr:row>
      <xdr:rowOff>19050</xdr:rowOff>
    </xdr:from>
    <xdr:to>
      <xdr:col>25</xdr:col>
      <xdr:colOff>47625</xdr:colOff>
      <xdr:row>30</xdr:row>
      <xdr:rowOff>76200</xdr:rowOff>
    </xdr:to>
    <xdr:graphicFrame macro="">
      <xdr:nvGraphicFramePr>
        <xdr:cNvPr id="3" name="Chart 2">
          <a:extLst>
            <a:ext uri="{FF2B5EF4-FFF2-40B4-BE49-F238E27FC236}">
              <a16:creationId xmlns:a16="http://schemas.microsoft.com/office/drawing/2014/main" id="{00000000-0008-0000-03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15</xdr:col>
      <xdr:colOff>608400</xdr:colOff>
      <xdr:row>36</xdr:row>
      <xdr:rowOff>24300</xdr:rowOff>
    </xdr:to>
    <xdr:graphicFrame macro="">
      <xdr:nvGraphicFramePr>
        <xdr:cNvPr id="3" name="Chart 7">
          <a:extLst>
            <a:ext uri="{FF2B5EF4-FFF2-40B4-BE49-F238E27FC236}">
              <a16:creationId xmlns:a16="http://schemas.microsoft.com/office/drawing/2014/main" id="{00000000-0008-0000-04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37</xdr:row>
      <xdr:rowOff>0</xdr:rowOff>
    </xdr:from>
    <xdr:to>
      <xdr:col>16</xdr:col>
      <xdr:colOff>1536</xdr:colOff>
      <xdr:row>73</xdr:row>
      <xdr:rowOff>24300</xdr:rowOff>
    </xdr:to>
    <xdr:grpSp>
      <xdr:nvGrpSpPr>
        <xdr:cNvPr id="4" name="Group 3">
          <a:extLst>
            <a:ext uri="{FF2B5EF4-FFF2-40B4-BE49-F238E27FC236}">
              <a16:creationId xmlns:a16="http://schemas.microsoft.com/office/drawing/2014/main" id="{00000000-0008-0000-0400-000004000000}"/>
            </a:ext>
          </a:extLst>
        </xdr:cNvPr>
        <xdr:cNvGrpSpPr/>
      </xdr:nvGrpSpPr>
      <xdr:grpSpPr>
        <a:xfrm>
          <a:off x="0" y="5991225"/>
          <a:ext cx="9755136" cy="5853600"/>
          <a:chOff x="0" y="0"/>
          <a:chExt cx="9822869" cy="5739300"/>
        </a:xfrm>
      </xdr:grpSpPr>
      <xdr:graphicFrame macro="">
        <xdr:nvGraphicFramePr>
          <xdr:cNvPr id="5" name="Chart 4">
            <a:extLst>
              <a:ext uri="{FF2B5EF4-FFF2-40B4-BE49-F238E27FC236}">
                <a16:creationId xmlns:a16="http://schemas.microsoft.com/office/drawing/2014/main" id="{00000000-0008-0000-0400-000005000000}"/>
              </a:ext>
            </a:extLst>
          </xdr:cNvPr>
          <xdr:cNvGraphicFramePr>
            <a:graphicFrameLocks/>
          </xdr:cNvGraphicFramePr>
        </xdr:nvGraphicFramePr>
        <xdr:xfrm>
          <a:off x="0" y="0"/>
          <a:ext cx="4912202" cy="5739300"/>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6" name="Chart 5">
            <a:extLst>
              <a:ext uri="{FF2B5EF4-FFF2-40B4-BE49-F238E27FC236}">
                <a16:creationId xmlns:a16="http://schemas.microsoft.com/office/drawing/2014/main" id="{00000000-0008-0000-0400-000006000000}"/>
              </a:ext>
            </a:extLst>
          </xdr:cNvPr>
          <xdr:cNvGraphicFramePr>
            <a:graphicFrameLocks/>
          </xdr:cNvGraphicFramePr>
        </xdr:nvGraphicFramePr>
        <xdr:xfrm>
          <a:off x="4910667" y="0"/>
          <a:ext cx="4912202" cy="5739300"/>
        </xdr:xfrm>
        <a:graphic>
          <a:graphicData uri="http://schemas.openxmlformats.org/drawingml/2006/chart">
            <c:chart xmlns:c="http://schemas.openxmlformats.org/drawingml/2006/chart" xmlns:r="http://schemas.openxmlformats.org/officeDocument/2006/relationships" r:id="rId3"/>
          </a:graphicData>
        </a:graphic>
      </xdr:graphicFrame>
    </xdr:grp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temp\garbage.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ROBDOR~1\AppData\Local\Temp\XPgrpwise\Synthetic%20orphanhood%20method%20Kenya%202.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Users\ROBDOR~1\AppData\Local\Temp\XPgrpwise\AM_Orphanhood_OneCensus_AIDS%20Kenya_10.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temp\Gompertz_C96.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Raw Data"/>
      <sheetName val="El-Badry correction"/>
      <sheetName val="El-Badry (2)"/>
      <sheetName val="Adj. CEB 1, BLYR 1 (2)"/>
      <sheetName val="GOMP (2)"/>
      <sheetName val="Summary ASFRs &amp; TFRs (2)"/>
      <sheetName val="Deadkids correction to CEB"/>
      <sheetName val="Manipulations"/>
      <sheetName val="Adj. CEB 1, BLYR 1"/>
      <sheetName val="Summary ASFRs &amp; TFRs"/>
      <sheetName val="GOMP"/>
      <sheetName val="COMPARE"/>
    </sheetNames>
    <sheetDataSet>
      <sheetData sheetId="0"/>
      <sheetData sheetId="1"/>
      <sheetData sheetId="2"/>
      <sheetData sheetId="3"/>
      <sheetData sheetId="4"/>
      <sheetData sheetId="5"/>
      <sheetData sheetId="6"/>
      <sheetData sheetId="7">
        <row r="4">
          <cell r="V4">
            <v>0</v>
          </cell>
        </row>
        <row r="5">
          <cell r="V5">
            <v>2.828820313291569E-3</v>
          </cell>
        </row>
        <row r="6">
          <cell r="V6">
            <v>1.7220218111561159E-2</v>
          </cell>
        </row>
        <row r="7">
          <cell r="V7">
            <v>3.7969882467608018E-2</v>
          </cell>
        </row>
        <row r="8">
          <cell r="V8">
            <v>6.5031650686778519E-2</v>
          </cell>
        </row>
        <row r="9">
          <cell r="V9">
            <v>9.8023575185855361E-2</v>
          </cell>
        </row>
        <row r="10">
          <cell r="V10">
            <v>0.13739063721012457</v>
          </cell>
        </row>
        <row r="11">
          <cell r="V11">
            <v>0.18277562370487033</v>
          </cell>
        </row>
        <row r="26">
          <cell r="AA26">
            <v>36</v>
          </cell>
          <cell r="AB26">
            <v>0.23556002000000001</v>
          </cell>
          <cell r="AC26">
            <v>223</v>
          </cell>
        </row>
        <row r="27">
          <cell r="AA27">
            <v>37</v>
          </cell>
          <cell r="AB27">
            <v>0.35120604999999999</v>
          </cell>
          <cell r="AC27">
            <v>222</v>
          </cell>
        </row>
        <row r="28">
          <cell r="AA28">
            <v>38</v>
          </cell>
          <cell r="AB28">
            <v>0.25579874000000002</v>
          </cell>
          <cell r="AC28">
            <v>226</v>
          </cell>
        </row>
        <row r="29">
          <cell r="AA29">
            <v>39</v>
          </cell>
          <cell r="AB29">
            <v>0.36016730000000002</v>
          </cell>
          <cell r="AC29">
            <v>252</v>
          </cell>
        </row>
        <row r="30">
          <cell r="AA30">
            <v>40</v>
          </cell>
          <cell r="AB30">
            <v>0.39299674000000001</v>
          </cell>
          <cell r="AC30">
            <v>222</v>
          </cell>
        </row>
        <row r="31">
          <cell r="AA31">
            <v>41</v>
          </cell>
          <cell r="AB31">
            <v>0.44260072</v>
          </cell>
          <cell r="AC31">
            <v>172</v>
          </cell>
        </row>
        <row r="32">
          <cell r="AA32">
            <v>42</v>
          </cell>
          <cell r="AB32">
            <v>0.48064695000000002</v>
          </cell>
          <cell r="AC32">
            <v>195</v>
          </cell>
        </row>
        <row r="33">
          <cell r="AA33">
            <v>43</v>
          </cell>
          <cell r="AB33">
            <v>0.54062270999999995</v>
          </cell>
          <cell r="AC33">
            <v>160</v>
          </cell>
        </row>
        <row r="34">
          <cell r="AA34">
            <v>44</v>
          </cell>
          <cell r="AB34">
            <v>0.32306489999999999</v>
          </cell>
          <cell r="AC34">
            <v>162</v>
          </cell>
        </row>
        <row r="35">
          <cell r="AA35">
            <v>45</v>
          </cell>
          <cell r="AB35">
            <v>0.46572206999999999</v>
          </cell>
          <cell r="AC35">
            <v>176</v>
          </cell>
        </row>
        <row r="36">
          <cell r="AA36">
            <v>46</v>
          </cell>
          <cell r="AB36">
            <v>0.63649986000000003</v>
          </cell>
          <cell r="AC36">
            <v>126</v>
          </cell>
        </row>
        <row r="37">
          <cell r="AA37">
            <v>47</v>
          </cell>
          <cell r="AB37">
            <v>0.51730050000000005</v>
          </cell>
          <cell r="AC37">
            <v>151</v>
          </cell>
        </row>
        <row r="38">
          <cell r="AA38">
            <v>48</v>
          </cell>
          <cell r="AB38">
            <v>0.75751767000000003</v>
          </cell>
          <cell r="AC38">
            <v>122</v>
          </cell>
        </row>
        <row r="39">
          <cell r="AA39">
            <v>49</v>
          </cell>
          <cell r="AB39">
            <v>0.54258373999999998</v>
          </cell>
          <cell r="AC39">
            <v>93</v>
          </cell>
        </row>
      </sheetData>
      <sheetData sheetId="8"/>
      <sheetData sheetId="9"/>
      <sheetData sheetId="10"/>
      <sheetData sheetId="11"/>
      <sheetData sheetId="1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ction"/>
      <sheetName val="Model data"/>
      <sheetName val="Maternal orphanhood"/>
      <sheetName val="Paternal orphanhood"/>
      <sheetName val="Graphs"/>
    </sheetNames>
    <sheetDataSet>
      <sheetData sheetId="0">
        <row r="11">
          <cell r="D11" t="str">
            <v>UN General</v>
          </cell>
        </row>
      </sheetData>
      <sheetData sheetId="1"/>
      <sheetData sheetId="2">
        <row r="1">
          <cell r="S1">
            <v>1999.65</v>
          </cell>
        </row>
        <row r="57">
          <cell r="D57">
            <v>26.750483870967741</v>
          </cell>
        </row>
      </sheetData>
      <sheetData sheetId="3">
        <row r="43">
          <cell r="C43">
            <v>32.96050811424012</v>
          </cell>
        </row>
      </sheetData>
      <sheetData sheetId="4"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ction"/>
      <sheetName val="Model data"/>
      <sheetName val="Maternal orphanhood"/>
      <sheetName val="Paternal orphanhood"/>
      <sheetName val="Charts"/>
    </sheetNames>
    <sheetDataSet>
      <sheetData sheetId="0">
        <row r="11">
          <cell r="D11" t="str">
            <v>Princeton South</v>
          </cell>
        </row>
      </sheetData>
      <sheetData sheetId="1"/>
      <sheetData sheetId="2">
        <row r="1">
          <cell r="T1">
            <v>1999.65</v>
          </cell>
        </row>
        <row r="43">
          <cell r="D43">
            <v>26.750483870967741</v>
          </cell>
        </row>
      </sheetData>
      <sheetData sheetId="3">
        <row r="31">
          <cell r="C31">
            <v>32.96050811424012</v>
          </cell>
        </row>
      </sheetData>
      <sheetData sheetId="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OMP"/>
      <sheetName val="COMPARE"/>
      <sheetName val="ADJUST"/>
      <sheetName val="Feeney adj. TFR"/>
    </sheetNames>
    <sheetDataSet>
      <sheetData sheetId="0">
        <row r="3">
          <cell r="V3" t="str">
            <v xml:space="preserve"> </v>
          </cell>
          <cell r="W3">
            <v>-2.4021090835736705</v>
          </cell>
          <cell r="X3" t="e">
            <v>#N/A</v>
          </cell>
          <cell r="Y3">
            <v>-2.4986293679400342</v>
          </cell>
        </row>
        <row r="4">
          <cell r="V4" t="str">
            <v xml:space="preserve">  F20</v>
          </cell>
          <cell r="W4">
            <v>-1.4501268260865627</v>
          </cell>
          <cell r="X4">
            <v>-1.507615229605147</v>
          </cell>
          <cell r="Y4">
            <v>-1.5444845080549436</v>
          </cell>
        </row>
        <row r="5">
          <cell r="V5" t="str">
            <v xml:space="preserve">  F25</v>
          </cell>
          <cell r="W5">
            <v>-0.74298121534953399</v>
          </cell>
          <cell r="X5">
            <v>-0.87023508247751102</v>
          </cell>
          <cell r="Y5">
            <v>-0.83573248629347074</v>
          </cell>
        </row>
        <row r="6">
          <cell r="V6" t="str">
            <v xml:space="preserve">  F30</v>
          </cell>
          <cell r="W6">
            <v>-3.8167221418934326E-2</v>
          </cell>
          <cell r="X6">
            <v>-0.16344409305232799</v>
          </cell>
          <cell r="Y6">
            <v>-0.12931737803388188</v>
          </cell>
        </row>
        <row r="7">
          <cell r="V7" t="str">
            <v xml:space="preserve">  F35</v>
          </cell>
          <cell r="W7">
            <v>0.83562685790156843</v>
          </cell>
          <cell r="X7">
            <v>0.77821183247006775</v>
          </cell>
          <cell r="Y7">
            <v>0.74646168488943454</v>
          </cell>
        </row>
        <row r="8">
          <cell r="V8" t="str">
            <v xml:space="preserve"> </v>
          </cell>
          <cell r="W8">
            <v>2.1649127615274719</v>
          </cell>
          <cell r="X8" t="e">
            <v>#N/A</v>
          </cell>
          <cell r="Y8">
            <v>2.0787673053852451</v>
          </cell>
        </row>
        <row r="9">
          <cell r="V9" t="str">
            <v xml:space="preserve"> </v>
          </cell>
          <cell r="W9">
            <v>4.4556107747849927</v>
          </cell>
          <cell r="X9" t="e">
            <v>#N/A</v>
          </cell>
          <cell r="Y9">
            <v>4.3746690595502917</v>
          </cell>
        </row>
        <row r="12">
          <cell r="V12" t="str">
            <v xml:space="preserve"> </v>
          </cell>
          <cell r="W12">
            <v>-2.6450203494436626</v>
          </cell>
          <cell r="X12" t="e">
            <v>#N/A</v>
          </cell>
          <cell r="Y12">
            <v>-2.4175489202337466</v>
          </cell>
        </row>
        <row r="13">
          <cell r="V13" t="str">
            <v xml:space="preserve">  P20</v>
          </cell>
          <cell r="W13">
            <v>-1.743792567240362</v>
          </cell>
          <cell r="X13">
            <v>-1.6111279326936219</v>
          </cell>
          <cell r="Y13">
            <v>-1.6445684703685801</v>
          </cell>
        </row>
        <row r="14">
          <cell r="V14" t="str">
            <v xml:space="preserve">  P25</v>
          </cell>
          <cell r="W14">
            <v>-1.0156961788944672</v>
          </cell>
          <cell r="X14">
            <v>-1.0220034711598767</v>
          </cell>
          <cell r="Y14">
            <v>-1.0200823139022515</v>
          </cell>
        </row>
        <row r="15">
          <cell r="V15" t="str">
            <v xml:space="preserve">  P30</v>
          </cell>
          <cell r="W15">
            <v>-0.33548833339317602</v>
          </cell>
          <cell r="X15">
            <v>-0.52730233551108063</v>
          </cell>
          <cell r="Y15">
            <v>-0.4366700214716176</v>
          </cell>
        </row>
        <row r="16">
          <cell r="V16" t="str">
            <v xml:space="preserve">  P35</v>
          </cell>
          <cell r="W16">
            <v>0.43909113247098358</v>
          </cell>
          <cell r="X16">
            <v>0.28679746912635884</v>
          </cell>
          <cell r="Y16">
            <v>0.2276845355042289</v>
          </cell>
        </row>
        <row r="17">
          <cell r="V17" t="str">
            <v xml:space="preserve"> </v>
          </cell>
          <cell r="W17">
            <v>1.5116837766574984</v>
          </cell>
          <cell r="X17" t="e">
            <v>#N/A</v>
          </cell>
          <cell r="Y17">
            <v>1.1476441295132076</v>
          </cell>
        </row>
        <row r="18">
          <cell r="V18" t="str">
            <v xml:space="preserve"> </v>
          </cell>
          <cell r="W18">
            <v>3.2103875700248783</v>
          </cell>
          <cell r="X18" t="e">
            <v>#N/A</v>
          </cell>
          <cell r="Y18">
            <v>2.6046174367215493</v>
          </cell>
        </row>
        <row r="19">
          <cell r="V19" t="str">
            <v xml:space="preserve"> </v>
          </cell>
          <cell r="W19">
            <v>6.0547232610015094</v>
          </cell>
          <cell r="Y19">
            <v>5.0441958933505049</v>
          </cell>
        </row>
        <row r="26">
          <cell r="Y26">
            <v>13.5</v>
          </cell>
          <cell r="Z26">
            <v>3.4942844948396688E-2</v>
          </cell>
          <cell r="AB26" t="str">
            <v>P</v>
          </cell>
          <cell r="AC26">
            <v>4.7745730018919647E-3</v>
          </cell>
          <cell r="AE26">
            <v>3.8700760144216373</v>
          </cell>
          <cell r="AF26" t="str">
            <v>shape:</v>
          </cell>
        </row>
        <row r="27">
          <cell r="Y27">
            <v>17.5</v>
          </cell>
          <cell r="Z27">
            <v>0.21084286445625874</v>
          </cell>
          <cell r="AB27" t="str">
            <v>P</v>
          </cell>
          <cell r="AC27">
            <v>0.21314937495649397</v>
          </cell>
        </row>
        <row r="28">
          <cell r="Y28">
            <v>22.5</v>
          </cell>
          <cell r="Z28">
            <v>0.83731857700906287</v>
          </cell>
          <cell r="AB28" t="str">
            <v>P</v>
          </cell>
          <cell r="AC28">
            <v>0.86191053201360268</v>
          </cell>
          <cell r="AE28">
            <v>3.8700760144216373</v>
          </cell>
          <cell r="AF28" t="str">
            <v>separate</v>
          </cell>
        </row>
        <row r="29">
          <cell r="Y29">
            <v>27.5</v>
          </cell>
          <cell r="Z29">
            <v>1.633351413218336</v>
          </cell>
          <cell r="AB29" t="str">
            <v>P</v>
          </cell>
          <cell r="AC29">
            <v>1.6565527948962453</v>
          </cell>
        </row>
        <row r="30">
          <cell r="Y30">
            <v>32.5</v>
          </cell>
          <cell r="Z30">
            <v>2.509503539898799</v>
          </cell>
          <cell r="AB30" t="str">
            <v>P</v>
          </cell>
          <cell r="AC30">
            <v>2.4327447877779402</v>
          </cell>
        </row>
        <row r="31">
          <cell r="Y31">
            <v>37.5</v>
          </cell>
          <cell r="Z31">
            <v>3.1888325557518113</v>
          </cell>
          <cell r="AB31" t="str">
            <v>P</v>
          </cell>
          <cell r="AC31">
            <v>3.1207792602208806</v>
          </cell>
        </row>
        <row r="32">
          <cell r="Y32">
            <v>42.5</v>
          </cell>
          <cell r="Z32">
            <v>3.7306010413349315</v>
          </cell>
          <cell r="AB32" t="str">
            <v>P</v>
          </cell>
          <cell r="AC32">
            <v>3.6391032315912129</v>
          </cell>
        </row>
        <row r="33">
          <cell r="Y33">
            <v>47.5</v>
          </cell>
          <cell r="Z33">
            <v>4.0716709951667305</v>
          </cell>
          <cell r="AB33" t="str">
            <v>P</v>
          </cell>
          <cell r="AC33">
            <v>3.8454467289171261</v>
          </cell>
        </row>
        <row r="35">
          <cell r="Y35">
            <v>14.5</v>
          </cell>
          <cell r="Z35">
            <v>5.8586610577897949E-3</v>
          </cell>
          <cell r="AB35" t="str">
            <v>F</v>
          </cell>
          <cell r="AC35">
            <v>1.6253744519433818E-3</v>
          </cell>
          <cell r="AE35">
            <v>2.8700760144216373</v>
          </cell>
          <cell r="AF35" t="str">
            <v>level:</v>
          </cell>
        </row>
        <row r="36">
          <cell r="Y36">
            <v>19.5</v>
          </cell>
          <cell r="Z36">
            <v>0.1626223251164173</v>
          </cell>
          <cell r="AB36" t="str">
            <v>F</v>
          </cell>
          <cell r="AC36">
            <v>0.15930721495654426</v>
          </cell>
        </row>
        <row r="37">
          <cell r="Y37">
            <v>24.5</v>
          </cell>
          <cell r="Z37">
            <v>0.53281715315856693</v>
          </cell>
          <cell r="AB37" t="str">
            <v>F</v>
          </cell>
          <cell r="AC37">
            <v>0.54574423789689863</v>
          </cell>
          <cell r="AE37">
            <v>2.8700760144216373</v>
          </cell>
          <cell r="AF37" t="str">
            <v>F 15 to 35</v>
          </cell>
        </row>
        <row r="38">
          <cell r="Y38">
            <v>29.5</v>
          </cell>
          <cell r="Z38">
            <v>0.94973188784006068</v>
          </cell>
          <cell r="AB38" t="str">
            <v>F</v>
          </cell>
          <cell r="AC38">
            <v>0.95388967737444674</v>
          </cell>
        </row>
        <row r="39">
          <cell r="Y39">
            <v>34.5</v>
          </cell>
          <cell r="Z39">
            <v>1.3100528095079462</v>
          </cell>
          <cell r="AB39" t="str">
            <v>F</v>
          </cell>
          <cell r="AC39">
            <v>1.3016641393600896</v>
          </cell>
        </row>
        <row r="40">
          <cell r="Y40">
            <v>39.5</v>
          </cell>
          <cell r="Z40">
            <v>1.5599895984919026</v>
          </cell>
          <cell r="AB40" t="str">
            <v>F</v>
          </cell>
          <cell r="AC40">
            <v>1.5587554791311002</v>
          </cell>
        </row>
        <row r="41">
          <cell r="Y41">
            <v>44.5</v>
          </cell>
          <cell r="Z41">
            <v>1.7054253960153094</v>
          </cell>
          <cell r="AB41" t="str">
            <v>F</v>
          </cell>
          <cell r="AC41">
            <v>1.688054517008271</v>
          </cell>
        </row>
        <row r="42">
          <cell r="Y42">
            <v>49.5</v>
          </cell>
          <cell r="Z42">
            <v>1.7816517240609606</v>
          </cell>
          <cell r="AB42" t="str">
            <v>F</v>
          </cell>
          <cell r="AC42">
            <v>1.7084519866900585</v>
          </cell>
        </row>
        <row r="44">
          <cell r="Y44">
            <v>13.504003814440011</v>
          </cell>
          <cell r="AA44" t="str">
            <v xml:space="preserve"> </v>
          </cell>
        </row>
        <row r="45">
          <cell r="Y45">
            <v>14.5</v>
          </cell>
          <cell r="AA45" t="str">
            <v xml:space="preserve"> </v>
          </cell>
        </row>
        <row r="46">
          <cell r="Y46">
            <v>17.94764765779551</v>
          </cell>
          <cell r="AA46" t="str">
            <v xml:space="preserve"> </v>
          </cell>
        </row>
        <row r="47">
          <cell r="Y47">
            <v>19.5</v>
          </cell>
          <cell r="AA47" t="str">
            <v xml:space="preserve"> </v>
          </cell>
        </row>
        <row r="48">
          <cell r="Y48">
            <v>22.410865210263967</v>
          </cell>
          <cell r="AA48" t="str">
            <v xml:space="preserve"> </v>
          </cell>
        </row>
        <row r="49">
          <cell r="Y49">
            <v>24.5</v>
          </cell>
          <cell r="AA49" t="str">
            <v xml:space="preserve"> </v>
          </cell>
          <cell r="AE49">
            <v>2.3700760144216373</v>
          </cell>
          <cell r="AF49" t="str">
            <v>P 15 to 35</v>
          </cell>
        </row>
        <row r="50">
          <cell r="Y50">
            <v>27.445027935971265</v>
          </cell>
          <cell r="AA50" t="str">
            <v xml:space="preserve"> </v>
          </cell>
        </row>
        <row r="51">
          <cell r="Y51">
            <v>29.5</v>
          </cell>
          <cell r="AA51" t="str">
            <v xml:space="preserve"> </v>
          </cell>
        </row>
        <row r="52">
          <cell r="Y52">
            <v>32.517785477812403</v>
          </cell>
          <cell r="AA52" t="str">
            <v xml:space="preserve"> </v>
          </cell>
        </row>
        <row r="53">
          <cell r="Y53">
            <v>34.5</v>
          </cell>
          <cell r="AA53" t="str">
            <v xml:space="preserve"> </v>
          </cell>
        </row>
        <row r="54">
          <cell r="Y54">
            <v>37.544235773557418</v>
          </cell>
          <cell r="AA54" t="str">
            <v xml:space="preserve"> </v>
          </cell>
        </row>
        <row r="55">
          <cell r="Y55">
            <v>39.5</v>
          </cell>
          <cell r="AA55" t="str">
            <v xml:space="preserve"> </v>
          </cell>
        </row>
        <row r="56">
          <cell r="Y56">
            <v>42.536611047768147</v>
          </cell>
          <cell r="AA56" t="str">
            <v xml:space="preserve"> </v>
          </cell>
        </row>
        <row r="57">
          <cell r="Y57">
            <v>44.5</v>
          </cell>
          <cell r="AA57" t="str">
            <v xml:space="preserve"> </v>
          </cell>
        </row>
        <row r="58">
          <cell r="Y58">
            <v>47.242548778134008</v>
          </cell>
          <cell r="AA58" t="str">
            <v xml:space="preserve"> </v>
          </cell>
        </row>
        <row r="59">
          <cell r="Y59">
            <v>49.5</v>
          </cell>
          <cell r="AA59" t="str">
            <v xml:space="preserve"> </v>
          </cell>
        </row>
        <row r="60">
          <cell r="Y60">
            <v>51.500000000000007</v>
          </cell>
          <cell r="AA60" t="str">
            <v xml:space="preserve"> </v>
          </cell>
        </row>
      </sheetData>
      <sheetData sheetId="1" refreshError="1"/>
      <sheetData sheetId="2" refreshError="1"/>
      <sheetData sheetId="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demographicestimation.iussp.org/content/preston-coale-method" TargetMode="External"/><Relationship Id="rId1" Type="http://schemas.openxmlformats.org/officeDocument/2006/relationships/hyperlink" Target="http://demographicestimation.iussp.org/content/preston-coale-method"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4.bin"/><Relationship Id="rId4" Type="http://schemas.openxmlformats.org/officeDocument/2006/relationships/comments" Target="../comments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4"/>
  <sheetViews>
    <sheetView showGridLines="0" tabSelected="1" workbookViewId="0">
      <selection activeCell="D14" sqref="D14"/>
    </sheetView>
  </sheetViews>
  <sheetFormatPr defaultRowHeight="18.75" customHeight="1"/>
  <cols>
    <col min="1" max="1" width="7.7109375" style="111" customWidth="1"/>
    <col min="2" max="2" width="97.7109375" style="111" customWidth="1"/>
    <col min="3" max="3" width="28.7109375" style="111" customWidth="1"/>
    <col min="4" max="4" width="15.7109375" style="111" customWidth="1"/>
    <col min="5" max="16384" width="9.140625" style="111"/>
  </cols>
  <sheetData>
    <row r="1" spans="1:4" ht="18.75" customHeight="1">
      <c r="A1" s="130" t="s">
        <v>48</v>
      </c>
      <c r="B1" s="131"/>
    </row>
    <row r="2" spans="1:4" ht="18.75" customHeight="1">
      <c r="A2" s="112"/>
      <c r="B2" s="113"/>
    </row>
    <row r="3" spans="1:4" ht="18.75" customHeight="1">
      <c r="A3" s="132" t="s">
        <v>47</v>
      </c>
      <c r="B3" s="132"/>
    </row>
    <row r="4" spans="1:4" ht="18.75" customHeight="1">
      <c r="A4" s="133" t="s">
        <v>131</v>
      </c>
      <c r="B4" s="134"/>
    </row>
    <row r="6" spans="1:4" ht="91.5" customHeight="1">
      <c r="A6" s="135" t="s">
        <v>102</v>
      </c>
      <c r="B6" s="135"/>
    </row>
    <row r="7" spans="1:4" ht="18.75" customHeight="1" thickBot="1"/>
    <row r="8" spans="1:4" ht="18.75" customHeight="1" thickBot="1">
      <c r="A8" s="114" t="s">
        <v>49</v>
      </c>
      <c r="C8" s="136" t="s">
        <v>95</v>
      </c>
      <c r="D8" s="137"/>
    </row>
    <row r="9" spans="1:4" ht="18.75" customHeight="1">
      <c r="A9" s="115">
        <v>1</v>
      </c>
      <c r="B9" s="115" t="s">
        <v>103</v>
      </c>
      <c r="C9" s="116" t="s">
        <v>96</v>
      </c>
      <c r="D9" s="125" t="s">
        <v>51</v>
      </c>
    </row>
    <row r="10" spans="1:4" ht="19.5" customHeight="1">
      <c r="A10" s="115">
        <v>2</v>
      </c>
      <c r="B10" s="115" t="s">
        <v>104</v>
      </c>
      <c r="C10" s="117" t="s">
        <v>97</v>
      </c>
      <c r="D10" s="126" t="s">
        <v>32</v>
      </c>
    </row>
    <row r="11" spans="1:4" ht="43.5" customHeight="1">
      <c r="A11" s="118">
        <v>3</v>
      </c>
      <c r="B11" s="119" t="s">
        <v>105</v>
      </c>
      <c r="C11" s="117" t="s">
        <v>98</v>
      </c>
      <c r="D11" s="126" t="s">
        <v>60</v>
      </c>
    </row>
    <row r="12" spans="1:4" ht="18.75" customHeight="1">
      <c r="A12" s="118">
        <v>4</v>
      </c>
      <c r="B12" s="118" t="s">
        <v>106</v>
      </c>
      <c r="C12" s="120" t="s">
        <v>99</v>
      </c>
      <c r="D12" s="127">
        <v>22406</v>
      </c>
    </row>
    <row r="13" spans="1:4" ht="33" customHeight="1">
      <c r="A13" s="118">
        <v>5</v>
      </c>
      <c r="B13" s="121" t="s">
        <v>107</v>
      </c>
      <c r="C13" s="120" t="s">
        <v>100</v>
      </c>
      <c r="D13" s="127">
        <v>22282</v>
      </c>
    </row>
    <row r="14" spans="1:4" ht="37.5" customHeight="1" thickBot="1">
      <c r="A14" s="118">
        <v>6</v>
      </c>
      <c r="B14" s="121" t="s">
        <v>108</v>
      </c>
      <c r="C14" s="122" t="s">
        <v>101</v>
      </c>
      <c r="D14" s="128">
        <v>22646</v>
      </c>
    </row>
    <row r="15" spans="1:4" ht="19.5" customHeight="1">
      <c r="A15" s="118">
        <v>7</v>
      </c>
      <c r="B15" s="118" t="s">
        <v>122</v>
      </c>
    </row>
    <row r="16" spans="1:4" ht="38.25" customHeight="1">
      <c r="A16" s="118">
        <v>8</v>
      </c>
      <c r="B16" s="121" t="s">
        <v>123</v>
      </c>
    </row>
    <row r="17" spans="1:2" ht="18.75" customHeight="1">
      <c r="A17" s="118">
        <v>9</v>
      </c>
      <c r="B17" s="121" t="s">
        <v>124</v>
      </c>
    </row>
    <row r="18" spans="1:2" ht="48" customHeight="1">
      <c r="A18" s="118">
        <v>10</v>
      </c>
      <c r="B18" s="123" t="s">
        <v>125</v>
      </c>
    </row>
    <row r="19" spans="1:2" ht="18.75" customHeight="1">
      <c r="A19" s="118"/>
      <c r="B19" s="121" t="s">
        <v>50</v>
      </c>
    </row>
    <row r="20" spans="1:2" ht="35.25" customHeight="1">
      <c r="A20" s="118"/>
      <c r="B20" s="121" t="s">
        <v>132</v>
      </c>
    </row>
    <row r="21" spans="1:2" ht="63" customHeight="1">
      <c r="A21" s="118"/>
      <c r="B21" s="121" t="s">
        <v>126</v>
      </c>
    </row>
    <row r="22" spans="1:2" ht="45.75">
      <c r="A22" s="118">
        <v>11</v>
      </c>
      <c r="B22" s="121" t="s">
        <v>133</v>
      </c>
    </row>
    <row r="23" spans="1:2" ht="22.5" customHeight="1">
      <c r="A23" s="121">
        <v>12</v>
      </c>
      <c r="B23" s="121" t="s">
        <v>130</v>
      </c>
    </row>
    <row r="24" spans="1:2" ht="52.5" customHeight="1">
      <c r="A24" s="118">
        <v>13</v>
      </c>
      <c r="B24" s="121" t="s">
        <v>127</v>
      </c>
    </row>
    <row r="25" spans="1:2" ht="36.75" customHeight="1">
      <c r="A25" s="118">
        <v>14</v>
      </c>
      <c r="B25" s="121" t="s">
        <v>128</v>
      </c>
    </row>
    <row r="26" spans="1:2" ht="19.5" customHeight="1">
      <c r="A26" s="118">
        <v>15</v>
      </c>
      <c r="B26" s="118" t="s">
        <v>129</v>
      </c>
    </row>
    <row r="28" spans="1:2" ht="18.75" customHeight="1">
      <c r="A28" s="118"/>
      <c r="B28" s="121"/>
    </row>
    <row r="29" spans="1:2" ht="18.75" customHeight="1">
      <c r="A29" s="118"/>
      <c r="B29" s="121"/>
    </row>
    <row r="30" spans="1:2" ht="18.75" customHeight="1">
      <c r="A30" s="118"/>
      <c r="B30" s="121"/>
    </row>
    <row r="31" spans="1:2" ht="18.75" customHeight="1">
      <c r="A31" s="118"/>
      <c r="B31" s="121"/>
    </row>
    <row r="32" spans="1:2" ht="18.75" customHeight="1">
      <c r="A32" s="118"/>
      <c r="B32" s="121"/>
    </row>
    <row r="33" spans="1:2" ht="18.75" customHeight="1">
      <c r="A33" s="118"/>
      <c r="B33" s="121"/>
    </row>
    <row r="34" spans="1:2" ht="18.75" customHeight="1">
      <c r="A34" s="115"/>
      <c r="B34" s="124"/>
    </row>
    <row r="35" spans="1:2" ht="18.75" customHeight="1">
      <c r="A35" s="115"/>
      <c r="B35" s="124"/>
    </row>
    <row r="36" spans="1:2" ht="18.75" customHeight="1">
      <c r="A36" s="115"/>
      <c r="B36" s="124"/>
    </row>
    <row r="37" spans="1:2" ht="18.75" customHeight="1">
      <c r="A37" s="115"/>
      <c r="B37" s="124"/>
    </row>
    <row r="38" spans="1:2" ht="18.75" customHeight="1">
      <c r="A38" s="115"/>
      <c r="B38" s="124"/>
    </row>
    <row r="39" spans="1:2" ht="18.75" customHeight="1">
      <c r="A39" s="115"/>
      <c r="B39" s="124"/>
    </row>
    <row r="40" spans="1:2" ht="18.75" customHeight="1">
      <c r="A40" s="115"/>
      <c r="B40" s="115"/>
    </row>
    <row r="41" spans="1:2" ht="18.75" customHeight="1">
      <c r="A41" s="115"/>
      <c r="B41" s="115"/>
    </row>
    <row r="42" spans="1:2" ht="18.75" customHeight="1">
      <c r="A42" s="115"/>
      <c r="B42" s="115"/>
    </row>
    <row r="43" spans="1:2" ht="18.75" customHeight="1">
      <c r="A43" s="115"/>
      <c r="B43" s="115"/>
    </row>
    <row r="44" spans="1:2" ht="18.75" customHeight="1">
      <c r="A44" s="115"/>
      <c r="B44" s="115"/>
    </row>
    <row r="45" spans="1:2" ht="18.75" customHeight="1">
      <c r="A45" s="115"/>
      <c r="B45" s="115"/>
    </row>
    <row r="46" spans="1:2" ht="18.75" customHeight="1">
      <c r="A46" s="115"/>
      <c r="B46" s="115"/>
    </row>
    <row r="47" spans="1:2" ht="18.75" customHeight="1">
      <c r="A47" s="115"/>
      <c r="B47" s="115"/>
    </row>
    <row r="48" spans="1:2" ht="18.75" customHeight="1">
      <c r="A48" s="115"/>
      <c r="B48" s="115"/>
    </row>
    <row r="49" spans="1:2" ht="18.75" customHeight="1">
      <c r="A49" s="115"/>
      <c r="B49" s="115"/>
    </row>
    <row r="50" spans="1:2" ht="18.75" customHeight="1">
      <c r="A50" s="115"/>
      <c r="B50" s="115"/>
    </row>
    <row r="51" spans="1:2" ht="18.75" customHeight="1">
      <c r="A51" s="115"/>
      <c r="B51" s="115"/>
    </row>
    <row r="52" spans="1:2" ht="18.75" customHeight="1">
      <c r="A52" s="115"/>
      <c r="B52" s="115"/>
    </row>
    <row r="53" spans="1:2" ht="18.75" customHeight="1">
      <c r="A53" s="115"/>
      <c r="B53" s="115"/>
    </row>
    <row r="54" spans="1:2" ht="18.75" customHeight="1">
      <c r="A54" s="115"/>
      <c r="B54" s="115"/>
    </row>
    <row r="55" spans="1:2" ht="18.75" customHeight="1">
      <c r="A55" s="115"/>
      <c r="B55" s="115"/>
    </row>
    <row r="56" spans="1:2" ht="18.75" customHeight="1">
      <c r="A56" s="115"/>
      <c r="B56" s="115"/>
    </row>
    <row r="57" spans="1:2" ht="18.75" customHeight="1">
      <c r="A57" s="115"/>
      <c r="B57" s="115"/>
    </row>
    <row r="58" spans="1:2" ht="18.75" customHeight="1">
      <c r="A58" s="115"/>
      <c r="B58" s="115"/>
    </row>
    <row r="59" spans="1:2" ht="18.75" customHeight="1">
      <c r="A59" s="115"/>
      <c r="B59" s="115"/>
    </row>
    <row r="60" spans="1:2" ht="18.75" customHeight="1">
      <c r="A60" s="115"/>
      <c r="B60" s="115"/>
    </row>
    <row r="61" spans="1:2" ht="18.75" customHeight="1">
      <c r="A61" s="115"/>
      <c r="B61" s="115"/>
    </row>
    <row r="62" spans="1:2" ht="18.75" customHeight="1">
      <c r="A62" s="115"/>
      <c r="B62" s="115"/>
    </row>
    <row r="63" spans="1:2" ht="18.75" customHeight="1">
      <c r="A63" s="115"/>
      <c r="B63" s="115"/>
    </row>
    <row r="64" spans="1:2" ht="18.75" customHeight="1">
      <c r="A64" s="115"/>
      <c r="B64" s="115"/>
    </row>
  </sheetData>
  <sheetProtection sheet="1" objects="1" scenarios="1" selectLockedCells="1"/>
  <mergeCells count="5">
    <mergeCell ref="A1:B1"/>
    <mergeCell ref="A3:B3"/>
    <mergeCell ref="A4:B4"/>
    <mergeCell ref="A6:B6"/>
    <mergeCell ref="C8:D8"/>
  </mergeCells>
  <dataValidations count="4">
    <dataValidation type="list" showInputMessage="1" showErrorMessage="1" sqref="D10">
      <formula1>"Males,Females"</formula1>
    </dataValidation>
    <dataValidation type="list" showInputMessage="1" showErrorMessage="1" sqref="D11">
      <formula1>"UN General,Princeton East,Princeton North,Princeton South,Princeton West,AIDS,Other"</formula1>
    </dataValidation>
    <dataValidation type="date" showDropDown="1" showInputMessage="1" showErrorMessage="1" sqref="D13">
      <formula1>1</formula1>
      <formula2>73415</formula2>
    </dataValidation>
    <dataValidation type="date" allowBlank="1" showInputMessage="1" showErrorMessage="1" sqref="D12 D14">
      <formula1>1</formula1>
      <formula2>73415</formula2>
    </dataValidation>
  </dataValidations>
  <hyperlinks>
    <hyperlink ref="A4" r:id="rId1"/>
    <hyperlink ref="A4:B4" r:id="rId2" display="http://demographicestimation.iussp.org/content/preston-coale-method"/>
  </hyperlinks>
  <pageMargins left="0.7" right="0.7" top="0.75" bottom="0.75" header="0.3" footer="0.3"/>
  <pageSetup paperSize="9"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59999389629810485"/>
  </sheetPr>
  <dimension ref="A1:Q42"/>
  <sheetViews>
    <sheetView workbookViewId="0">
      <selection activeCell="H3" sqref="H3"/>
    </sheetView>
  </sheetViews>
  <sheetFormatPr defaultRowHeight="15"/>
  <cols>
    <col min="1" max="1" width="7.7109375" style="21" customWidth="1"/>
    <col min="2" max="2" width="12" style="21" customWidth="1"/>
    <col min="3" max="6" width="14.5703125" style="21" customWidth="1"/>
    <col min="7" max="7" width="12.5703125" style="21" customWidth="1"/>
    <col min="8" max="8" width="12.140625" style="21" customWidth="1"/>
    <col min="9" max="9" width="4.5703125" style="21" customWidth="1"/>
    <col min="10" max="10" width="7.5703125" style="21" customWidth="1"/>
    <col min="11" max="15" width="12" style="21" customWidth="1"/>
    <col min="16" max="16" width="11.85546875" style="21" customWidth="1"/>
    <col min="17" max="17" width="10.85546875" style="21" customWidth="1"/>
    <col min="18" max="16384" width="9.140625" style="21"/>
  </cols>
  <sheetData>
    <row r="1" spans="1:17" ht="18.75">
      <c r="A1" s="20" t="s">
        <v>52</v>
      </c>
      <c r="G1" s="22" t="s">
        <v>53</v>
      </c>
      <c r="H1" s="23"/>
      <c r="J1" s="20" t="s">
        <v>54</v>
      </c>
      <c r="P1" s="22" t="s">
        <v>55</v>
      </c>
      <c r="Q1" s="23"/>
    </row>
    <row r="2" spans="1:17" ht="33" customHeight="1">
      <c r="A2" s="24" t="s">
        <v>5</v>
      </c>
      <c r="B2" s="25" t="s">
        <v>56</v>
      </c>
      <c r="C2" s="25" t="s">
        <v>57</v>
      </c>
      <c r="D2" s="25" t="s">
        <v>58</v>
      </c>
      <c r="E2" s="25" t="s">
        <v>59</v>
      </c>
      <c r="F2" s="25" t="s">
        <v>60</v>
      </c>
      <c r="G2" s="25" t="s">
        <v>61</v>
      </c>
      <c r="H2" s="25" t="s">
        <v>62</v>
      </c>
      <c r="J2" s="24" t="s">
        <v>5</v>
      </c>
      <c r="K2" s="25" t="s">
        <v>56</v>
      </c>
      <c r="L2" s="25" t="s">
        <v>57</v>
      </c>
      <c r="M2" s="25" t="s">
        <v>58</v>
      </c>
      <c r="N2" s="25" t="s">
        <v>59</v>
      </c>
      <c r="O2" s="25" t="s">
        <v>60</v>
      </c>
      <c r="P2" s="25" t="s">
        <v>61</v>
      </c>
      <c r="Q2" s="24" t="s">
        <v>62</v>
      </c>
    </row>
    <row r="3" spans="1:17">
      <c r="A3" s="26">
        <v>5</v>
      </c>
      <c r="B3" s="27">
        <v>-1.0557703137725243</v>
      </c>
      <c r="C3" s="27">
        <v>-1.0034528162299363</v>
      </c>
      <c r="D3" s="27">
        <v>-1.061325256602174</v>
      </c>
      <c r="E3" s="27">
        <v>-0.90879111177777439</v>
      </c>
      <c r="F3" s="27">
        <v>-1.0842444395521329</v>
      </c>
      <c r="G3" s="28">
        <v>-0.85180455224953355</v>
      </c>
      <c r="H3" s="29"/>
      <c r="J3" s="26">
        <v>5</v>
      </c>
      <c r="K3" s="27">
        <v>-1.1183426521790116</v>
      </c>
      <c r="L3" s="27">
        <v>-1.0839281949744348</v>
      </c>
      <c r="M3" s="27">
        <v>-1.1185632260148939</v>
      </c>
      <c r="N3" s="27">
        <v>-0.97803104804351482</v>
      </c>
      <c r="O3" s="27">
        <v>-1.1443836734991739</v>
      </c>
      <c r="P3" s="27">
        <v>-0.79829676250861992</v>
      </c>
      <c r="Q3" s="29"/>
    </row>
    <row r="4" spans="1:17">
      <c r="A4" s="26">
        <v>10</v>
      </c>
      <c r="B4" s="27">
        <v>-1.0059690881890577</v>
      </c>
      <c r="C4" s="27">
        <v>-0.96210277111891918</v>
      </c>
      <c r="D4" s="27">
        <v>-0.97867737240738273</v>
      </c>
      <c r="E4" s="27">
        <v>-0.87426674682746675</v>
      </c>
      <c r="F4" s="27">
        <v>-1.0329081865332934</v>
      </c>
      <c r="G4" s="27">
        <v>-0.799205207567936</v>
      </c>
      <c r="H4" s="29"/>
      <c r="J4" s="26">
        <v>10</v>
      </c>
      <c r="K4" s="27">
        <v>-1.0743948523980273</v>
      </c>
      <c r="L4" s="27">
        <v>-1.0472539080439389</v>
      </c>
      <c r="M4" s="27">
        <v>-1.0393562968308907</v>
      </c>
      <c r="N4" s="27">
        <v>-0.94784307566733739</v>
      </c>
      <c r="O4" s="27">
        <v>-1.0968312103313975</v>
      </c>
      <c r="P4" s="27">
        <v>-0.73689617552188336</v>
      </c>
      <c r="Q4" s="29"/>
    </row>
    <row r="5" spans="1:17">
      <c r="A5" s="26">
        <v>15</v>
      </c>
      <c r="B5" s="27">
        <v>-0.9778828398588445</v>
      </c>
      <c r="C5" s="27">
        <v>-0.93688771389348002</v>
      </c>
      <c r="D5" s="27">
        <v>-0.93456378789298888</v>
      </c>
      <c r="E5" s="27">
        <v>-0.85272014880258951</v>
      </c>
      <c r="F5" s="27">
        <v>-0.99562585121052949</v>
      </c>
      <c r="G5" s="27">
        <v>-0.77885315149743439</v>
      </c>
      <c r="H5" s="29"/>
      <c r="J5" s="26">
        <v>15</v>
      </c>
      <c r="K5" s="27">
        <v>-1.046640904616448</v>
      </c>
      <c r="L5" s="27">
        <v>-1.0232404683298353</v>
      </c>
      <c r="M5" s="27">
        <v>-0.99810318323243907</v>
      </c>
      <c r="N5" s="27">
        <v>-0.92724294571284704</v>
      </c>
      <c r="O5" s="27">
        <v>-1.0631132391187417</v>
      </c>
      <c r="P5" s="27">
        <v>-0.69613571586652812</v>
      </c>
      <c r="Q5" s="29"/>
    </row>
    <row r="6" spans="1:17">
      <c r="A6" s="26">
        <v>20</v>
      </c>
      <c r="B6" s="27">
        <v>-0.93810586936643969</v>
      </c>
      <c r="C6" s="27">
        <v>-0.90144694160929184</v>
      </c>
      <c r="D6" s="27">
        <v>-0.88577608039760869</v>
      </c>
      <c r="E6" s="27">
        <v>-0.82207221968309652</v>
      </c>
      <c r="F6" s="27">
        <v>-0.94491044364009291</v>
      </c>
      <c r="G6" s="27">
        <v>-0.73999984529103391</v>
      </c>
      <c r="H6" s="29"/>
      <c r="J6" s="26">
        <v>20</v>
      </c>
      <c r="K6" s="27">
        <v>-1.0066773582389617</v>
      </c>
      <c r="L6" s="27">
        <v>-0.98210627496614655</v>
      </c>
      <c r="M6" s="27">
        <v>-0.9416333856114224</v>
      </c>
      <c r="N6" s="27">
        <v>-0.89806980739238718</v>
      </c>
      <c r="O6" s="27">
        <v>-1.0130422551600544</v>
      </c>
      <c r="P6" s="27">
        <v>-0.66544049854843723</v>
      </c>
      <c r="Q6" s="29"/>
    </row>
    <row r="7" spans="1:17">
      <c r="A7" s="26">
        <v>25</v>
      </c>
      <c r="B7" s="27">
        <v>-0.88761866143951096</v>
      </c>
      <c r="C7" s="27">
        <v>-0.85645781794940679</v>
      </c>
      <c r="D7" s="27">
        <v>-0.83063229603261535</v>
      </c>
      <c r="E7" s="27">
        <v>-0.78407707634718316</v>
      </c>
      <c r="F7" s="27">
        <v>-0.88412226434856211</v>
      </c>
      <c r="G7" s="27">
        <v>-0.66746727013803897</v>
      </c>
      <c r="H7" s="29"/>
      <c r="J7" s="26">
        <v>25</v>
      </c>
      <c r="K7" s="27">
        <v>-0.95393531432576628</v>
      </c>
      <c r="L7" s="27">
        <v>-0.92677804853722057</v>
      </c>
      <c r="M7" s="27">
        <v>-0.86920613351053932</v>
      </c>
      <c r="N7" s="27">
        <v>-0.85624317643298331</v>
      </c>
      <c r="O7" s="27">
        <v>-0.94848666240099744</v>
      </c>
      <c r="P7" s="27">
        <v>-0.61930998136655224</v>
      </c>
      <c r="Q7" s="29"/>
    </row>
    <row r="8" spans="1:17">
      <c r="A8" s="26">
        <v>30</v>
      </c>
      <c r="B8" s="27">
        <v>-0.83222308793731981</v>
      </c>
      <c r="C8" s="27">
        <v>-0.80848565605858569</v>
      </c>
      <c r="D8" s="27">
        <v>-0.77200338720246053</v>
      </c>
      <c r="E8" s="27">
        <v>-0.74309524259921955</v>
      </c>
      <c r="F8" s="27">
        <v>-0.82136257147134217</v>
      </c>
      <c r="G8" s="27">
        <v>-0.55497544474088145</v>
      </c>
      <c r="H8" s="29"/>
      <c r="J8" s="26">
        <v>30</v>
      </c>
      <c r="K8" s="27">
        <v>-0.89866730377103976</v>
      </c>
      <c r="L8" s="27">
        <v>-0.87581973706212179</v>
      </c>
      <c r="M8" s="27">
        <v>-0.80208481424719991</v>
      </c>
      <c r="N8" s="27">
        <v>-0.81703262635799434</v>
      </c>
      <c r="O8" s="27">
        <v>-0.88773038554625583</v>
      </c>
      <c r="P8" s="27">
        <v>-0.53826653643964251</v>
      </c>
      <c r="Q8" s="29"/>
    </row>
    <row r="9" spans="1:17">
      <c r="A9" s="26">
        <v>35</v>
      </c>
      <c r="B9" s="27">
        <v>-0.77161320305701064</v>
      </c>
      <c r="C9" s="27">
        <v>-0.75720799673579831</v>
      </c>
      <c r="D9" s="27">
        <v>-0.71174620737879146</v>
      </c>
      <c r="E9" s="27">
        <v>-0.70212800843649648</v>
      </c>
      <c r="F9" s="27">
        <v>-0.75642199010305966</v>
      </c>
      <c r="G9" s="27">
        <v>-0.43949301509733479</v>
      </c>
      <c r="H9" s="29"/>
      <c r="J9" s="26">
        <v>35</v>
      </c>
      <c r="K9" s="27">
        <v>-0.83892900424050876</v>
      </c>
      <c r="L9" s="27">
        <v>-0.82474303239272606</v>
      </c>
      <c r="M9" s="27">
        <v>-0.73732351213430469</v>
      </c>
      <c r="N9" s="27">
        <v>-0.77189439731086973</v>
      </c>
      <c r="O9" s="27">
        <v>-0.8259381775987652</v>
      </c>
      <c r="P9" s="27">
        <v>-0.42396950774757225</v>
      </c>
      <c r="Q9" s="29"/>
    </row>
    <row r="10" spans="1:17">
      <c r="A10" s="26">
        <v>40</v>
      </c>
      <c r="B10" s="27">
        <v>-0.70536613769800149</v>
      </c>
      <c r="C10" s="27">
        <v>-0.70143650532592283</v>
      </c>
      <c r="D10" s="27">
        <v>-0.6489531581506035</v>
      </c>
      <c r="E10" s="27">
        <v>-0.65777314927556685</v>
      </c>
      <c r="F10" s="27">
        <v>-0.68862800696556059</v>
      </c>
      <c r="G10" s="27">
        <v>-0.34752805546091936</v>
      </c>
      <c r="H10" s="29"/>
      <c r="J10" s="26">
        <v>40</v>
      </c>
      <c r="K10" s="27">
        <v>-0.76900214861344063</v>
      </c>
      <c r="L10" s="27">
        <v>-0.76681316903129526</v>
      </c>
      <c r="M10" s="27">
        <v>-0.67218441284437103</v>
      </c>
      <c r="N10" s="27">
        <v>-0.72231250461550289</v>
      </c>
      <c r="O10" s="27">
        <v>-0.75696780176204026</v>
      </c>
      <c r="P10" s="27">
        <v>-0.30537040538400972</v>
      </c>
      <c r="Q10" s="29"/>
    </row>
    <row r="11" spans="1:17">
      <c r="A11" s="26">
        <v>45</v>
      </c>
      <c r="B11" s="27">
        <v>-0.63225842771700302</v>
      </c>
      <c r="C11" s="27">
        <v>-0.64063233149904941</v>
      </c>
      <c r="D11" s="27">
        <v>-0.58010435644994485</v>
      </c>
      <c r="E11" s="27">
        <v>-0.60809129187599065</v>
      </c>
      <c r="F11" s="27">
        <v>-0.61631192568392912</v>
      </c>
      <c r="G11" s="27">
        <v>-0.2796717464607949</v>
      </c>
      <c r="H11" s="29"/>
      <c r="J11" s="26">
        <v>45</v>
      </c>
      <c r="K11" s="27">
        <v>-0.68452755415039701</v>
      </c>
      <c r="L11" s="27">
        <v>-0.69542221623109723</v>
      </c>
      <c r="M11" s="27">
        <v>-0.6004320886314537</v>
      </c>
      <c r="N11" s="27">
        <v>-0.66038885146608195</v>
      </c>
      <c r="O11" s="27">
        <v>-0.67555110779524841</v>
      </c>
      <c r="P11" s="27">
        <v>-0.19102306031916078</v>
      </c>
      <c r="Q11" s="29"/>
    </row>
    <row r="12" spans="1:17">
      <c r="A12" s="26">
        <v>50</v>
      </c>
      <c r="B12" s="27">
        <v>-0.54716064042354773</v>
      </c>
      <c r="C12" s="27">
        <v>-0.56974874560225386</v>
      </c>
      <c r="D12" s="27">
        <v>-0.50864167857923615</v>
      </c>
      <c r="E12" s="27">
        <v>-0.55207839286799509</v>
      </c>
      <c r="F12" s="27">
        <v>-0.53540369879947558</v>
      </c>
      <c r="G12" s="27">
        <v>-0.22679742576773457</v>
      </c>
      <c r="H12" s="29"/>
      <c r="J12" s="26">
        <v>50</v>
      </c>
      <c r="K12" s="27">
        <v>-0.58094867734309374</v>
      </c>
      <c r="L12" s="27">
        <v>-0.60294976503765141</v>
      </c>
      <c r="M12" s="27">
        <v>-0.52059834010621253</v>
      </c>
      <c r="N12" s="27">
        <v>-0.58383201720449152</v>
      </c>
      <c r="O12" s="27">
        <v>-0.57720150892943201</v>
      </c>
      <c r="P12" s="27">
        <v>-9.1258238415243206E-2</v>
      </c>
      <c r="Q12" s="29"/>
    </row>
    <row r="13" spans="1:17">
      <c r="A13" s="26">
        <v>55</v>
      </c>
      <c r="B13" s="27">
        <v>-0.44323137082095437</v>
      </c>
      <c r="C13" s="27">
        <v>-0.48057184541702924</v>
      </c>
      <c r="D13" s="27">
        <v>-0.42279162488953242</v>
      </c>
      <c r="E13" s="27">
        <v>-0.48008226256731529</v>
      </c>
      <c r="F13" s="27">
        <v>-0.43713086722588262</v>
      </c>
      <c r="G13" s="27">
        <v>-0.17320805457698965</v>
      </c>
      <c r="H13" s="29"/>
      <c r="J13" s="26">
        <v>55</v>
      </c>
      <c r="K13" s="27">
        <v>-0.45326106749569572</v>
      </c>
      <c r="L13" s="27">
        <v>-0.48163530200651361</v>
      </c>
      <c r="M13" s="27">
        <v>-0.4210143479136163</v>
      </c>
      <c r="N13" s="27">
        <v>-0.48460666195853785</v>
      </c>
      <c r="O13" s="27">
        <v>-0.45582055810755873</v>
      </c>
      <c r="P13" s="27">
        <v>-5.7787208801094525E-3</v>
      </c>
      <c r="Q13" s="29"/>
    </row>
    <row r="14" spans="1:17">
      <c r="A14" s="26">
        <v>60</v>
      </c>
      <c r="B14" s="27">
        <v>-0.31406112015068494</v>
      </c>
      <c r="C14" s="27">
        <v>-0.36529580454443744</v>
      </c>
      <c r="D14" s="27">
        <v>-0.32102416945414897</v>
      </c>
      <c r="E14" s="27">
        <v>-0.38856998615937</v>
      </c>
      <c r="F14" s="27">
        <v>-0.3186589915311997</v>
      </c>
      <c r="G14" s="27">
        <v>-0.11051999808174573</v>
      </c>
      <c r="H14" s="29"/>
      <c r="J14" s="26">
        <v>60</v>
      </c>
      <c r="K14" s="27">
        <v>-0.29911364237741156</v>
      </c>
      <c r="L14" s="27">
        <v>-0.33065389097350745</v>
      </c>
      <c r="M14" s="27">
        <v>-0.30682105927662073</v>
      </c>
      <c r="N14" s="27">
        <v>-0.35965748316759905</v>
      </c>
      <c r="O14" s="27">
        <v>-0.30741359919534794</v>
      </c>
      <c r="P14" s="27">
        <v>8.0454876803862097E-2</v>
      </c>
      <c r="Q14" s="29"/>
    </row>
    <row r="15" spans="1:17">
      <c r="A15" s="26">
        <v>65</v>
      </c>
      <c r="B15" s="27">
        <v>-0.15350037229977559</v>
      </c>
      <c r="C15" s="27">
        <v>-0.21177193364854202</v>
      </c>
      <c r="D15" s="27">
        <v>-0.18761837894537206</v>
      </c>
      <c r="E15" s="27">
        <v>-0.25906906882787523</v>
      </c>
      <c r="F15" s="27">
        <v>-0.16637525937102554</v>
      </c>
      <c r="G15" s="27">
        <v>-2.4564773576284834E-2</v>
      </c>
      <c r="H15" s="29"/>
      <c r="J15" s="26">
        <v>65</v>
      </c>
      <c r="K15" s="27">
        <v>-0.11199770547699364</v>
      </c>
      <c r="L15" s="27">
        <v>-0.14845486484458761</v>
      </c>
      <c r="M15" s="27">
        <v>-0.16058401337471645</v>
      </c>
      <c r="N15" s="27">
        <v>-0.20182323747925654</v>
      </c>
      <c r="O15" s="27">
        <v>-0.1262176157653675</v>
      </c>
      <c r="P15" s="27">
        <v>0.18406648298591774</v>
      </c>
      <c r="Q15" s="29"/>
    </row>
    <row r="16" spans="1:17">
      <c r="A16" s="26">
        <v>70</v>
      </c>
      <c r="B16" s="27">
        <v>4.7202694544060057E-2</v>
      </c>
      <c r="C16" s="27">
        <v>-6.4627267002444113E-3</v>
      </c>
      <c r="D16" s="27">
        <v>-1.046876480077538E-2</v>
      </c>
      <c r="E16" s="27">
        <v>-7.9751647450351681E-2</v>
      </c>
      <c r="F16" s="27">
        <v>2.5988333390229997E-2</v>
      </c>
      <c r="G16" s="27">
        <v>0.1003150483892048</v>
      </c>
      <c r="H16" s="29"/>
      <c r="J16" s="26">
        <v>70</v>
      </c>
      <c r="K16" s="27">
        <v>0.11350757351291885</v>
      </c>
      <c r="L16" s="27">
        <v>7.4350889929898981E-2</v>
      </c>
      <c r="M16" s="27">
        <v>2.5027307118656625E-2</v>
      </c>
      <c r="N16" s="27">
        <v>-3.6304814007426826E-3</v>
      </c>
      <c r="O16" s="27">
        <v>9.2839228680570429E-2</v>
      </c>
      <c r="P16" s="27">
        <v>0.32605808533447933</v>
      </c>
      <c r="Q16" s="29"/>
    </row>
    <row r="17" spans="1:17">
      <c r="A17" s="26">
        <v>75</v>
      </c>
      <c r="B17" s="27">
        <v>0.29831344083201977</v>
      </c>
      <c r="C17" s="27">
        <v>0.26683377074043363</v>
      </c>
      <c r="D17" s="27">
        <v>0.22405908607537503</v>
      </c>
      <c r="E17" s="27">
        <v>0.17544223413848195</v>
      </c>
      <c r="F17" s="27">
        <v>0.27789225951999852</v>
      </c>
      <c r="G17" s="27">
        <v>0.26437837247892709</v>
      </c>
      <c r="H17" s="29"/>
      <c r="J17" s="26">
        <v>75</v>
      </c>
      <c r="K17" s="27">
        <v>0.38394770191107502</v>
      </c>
      <c r="L17" s="27">
        <v>0.35688919667802921</v>
      </c>
      <c r="M17" s="27">
        <v>0.26393791547571011</v>
      </c>
      <c r="N17" s="27">
        <v>0.26264157768898094</v>
      </c>
      <c r="O17" s="27">
        <v>0.36516868997048274</v>
      </c>
      <c r="P17" s="27">
        <v>0.5118891879176225</v>
      </c>
      <c r="Q17" s="29"/>
    </row>
    <row r="18" spans="1:17">
      <c r="A18" s="26">
        <v>80</v>
      </c>
      <c r="B18" s="27">
        <v>0.61317544977380356</v>
      </c>
      <c r="C18" s="27">
        <v>0.63032567098022951</v>
      </c>
      <c r="D18" s="27">
        <v>0.53050000260347951</v>
      </c>
      <c r="E18" s="27">
        <v>0.52941084062316079</v>
      </c>
      <c r="F18" s="27">
        <v>0.60865330973735543</v>
      </c>
      <c r="G18" s="27">
        <v>0.47887517915207028</v>
      </c>
      <c r="H18" s="29"/>
      <c r="J18" s="26">
        <v>80</v>
      </c>
      <c r="K18" s="27">
        <v>0.71024327752276806</v>
      </c>
      <c r="L18" s="27">
        <v>0.72453107950166995</v>
      </c>
      <c r="M18" s="27">
        <v>0.57732480411031639</v>
      </c>
      <c r="N18" s="27">
        <v>0.63094192216713241</v>
      </c>
      <c r="O18" s="27">
        <v>0.71611699723844735</v>
      </c>
      <c r="P18" s="27">
        <v>0.75588193380852187</v>
      </c>
      <c r="Q18" s="29"/>
    </row>
    <row r="19" spans="1:17">
      <c r="A19" s="30">
        <v>85</v>
      </c>
      <c r="B19" s="31">
        <v>1.0181822931175846</v>
      </c>
      <c r="C19" s="31">
        <v>1.1331829930730626</v>
      </c>
      <c r="D19" s="31">
        <v>0.94458953171090765</v>
      </c>
      <c r="E19" s="31">
        <v>1.0331091244568076</v>
      </c>
      <c r="F19" s="31">
        <v>1.0566921142266263</v>
      </c>
      <c r="G19" s="31">
        <v>0.76832737327098732</v>
      </c>
      <c r="H19" s="32"/>
      <c r="J19" s="30">
        <v>85</v>
      </c>
      <c r="K19" s="31">
        <v>1.1175905321542541</v>
      </c>
      <c r="L19" s="31">
        <v>1.2272198084146826</v>
      </c>
      <c r="M19" s="31">
        <v>1.0013626443891026</v>
      </c>
      <c r="N19" s="31">
        <v>1.1510053247399854</v>
      </c>
      <c r="O19" s="31">
        <v>1.1877303063916866</v>
      </c>
      <c r="P19" s="31">
        <v>1.0995381024185025</v>
      </c>
      <c r="Q19" s="32"/>
    </row>
    <row r="21" spans="1:17" ht="15.75">
      <c r="A21" s="33" t="s">
        <v>63</v>
      </c>
      <c r="G21" s="34"/>
      <c r="H21" s="34"/>
    </row>
    <row r="22" spans="1:17">
      <c r="A22" s="35"/>
      <c r="B22" s="35"/>
    </row>
    <row r="23" spans="1:17" ht="15.75">
      <c r="A23" s="36"/>
      <c r="B23" s="37" t="str">
        <f>Introduction!D11</f>
        <v>Princeton West</v>
      </c>
      <c r="C23" s="37"/>
      <c r="D23" s="37" t="s">
        <v>64</v>
      </c>
    </row>
    <row r="24" spans="1:17" ht="16.5">
      <c r="A24" s="38" t="s">
        <v>5</v>
      </c>
      <c r="B24" s="39" t="s">
        <v>65</v>
      </c>
      <c r="C24" s="39"/>
      <c r="D24" s="39" t="s">
        <v>66</v>
      </c>
    </row>
    <row r="25" spans="1:17" ht="16.5">
      <c r="A25" s="40"/>
      <c r="B25" s="41" t="s">
        <v>67</v>
      </c>
      <c r="C25" s="41"/>
      <c r="D25" s="41" t="s">
        <v>68</v>
      </c>
    </row>
    <row r="26" spans="1:17">
      <c r="A26" s="26">
        <v>5</v>
      </c>
      <c r="B26" s="42">
        <f>IF(Introduction!$D$10="Females",HLOOKUP(Introduction!D$11,$B$2:$H$19,ROW()-ROW(B$26)+2,FALSE),HLOOKUP(Introduction!D$11,$K$2:$Q$19,ROW()-ROW(B$26)+2,FALSE))</f>
        <v>-1.0842444395521329</v>
      </c>
      <c r="C26" s="42">
        <f>1/(1+EXP(2*B26))</f>
        <v>0.89738389695608889</v>
      </c>
      <c r="D26" s="42">
        <f>C26/C$26</f>
        <v>1</v>
      </c>
    </row>
    <row r="27" spans="1:17">
      <c r="A27" s="26">
        <v>10</v>
      </c>
      <c r="B27" s="43">
        <f>IF(Introduction!$D$10="Females",HLOOKUP(Introduction!D$11,$B$2:$H$19,ROW()-ROW(B$26)+2,FALSE),HLOOKUP(Introduction!D$11,$K$2:$Q$19,ROW()-ROW(B$26)+2,FALSE))</f>
        <v>-1.0329081865332934</v>
      </c>
      <c r="C27" s="43">
        <f>1/(1+EXP(2*B27))</f>
        <v>0.88753604587465273</v>
      </c>
      <c r="D27" s="43">
        <f>C27/C$26</f>
        <v>0.98902604435533126</v>
      </c>
    </row>
    <row r="28" spans="1:17">
      <c r="A28" s="26">
        <v>15</v>
      </c>
      <c r="B28" s="43">
        <f>IF(Introduction!$D$10="Females",HLOOKUP(Introduction!D$11,$B$2:$H$19,ROW()-ROW(B$26)+2,FALSE),HLOOKUP(Introduction!D$11,$K$2:$Q$19,ROW()-ROW(B$26)+2,FALSE))</f>
        <v>-0.99562585121052949</v>
      </c>
      <c r="C28" s="43">
        <f t="shared" ref="C28:C41" si="0">1/(1+EXP(2*B28))</f>
        <v>0.87987549864512993</v>
      </c>
      <c r="D28" s="43">
        <f t="shared" ref="D28:D41" si="1">C28/C$26</f>
        <v>0.98048951137818818</v>
      </c>
    </row>
    <row r="29" spans="1:17">
      <c r="A29" s="26">
        <v>20</v>
      </c>
      <c r="B29" s="43">
        <f>IF(Introduction!$D$10="Females",HLOOKUP(Introduction!D$11,$B$2:$H$19,ROW()-ROW(B$26)+2,FALSE),HLOOKUP(Introduction!D$11,$K$2:$Q$19,ROW()-ROW(B$26)+2,FALSE))</f>
        <v>-0.94491044364009291</v>
      </c>
      <c r="C29" s="43">
        <f t="shared" si="0"/>
        <v>0.86873510689512778</v>
      </c>
      <c r="D29" s="43">
        <f t="shared" si="1"/>
        <v>0.96807521267304064</v>
      </c>
    </row>
    <row r="30" spans="1:17">
      <c r="A30" s="26">
        <v>25</v>
      </c>
      <c r="B30" s="43">
        <f>IF(Introduction!$D$10="Females",HLOOKUP(Introduction!D$11,$B$2:$H$19,ROW()-ROW(B$26)+2,FALSE),HLOOKUP(Introduction!D$11,$K$2:$Q$19,ROW()-ROW(B$26)+2,FALSE))</f>
        <v>-0.88412226434856211</v>
      </c>
      <c r="C30" s="43">
        <f t="shared" si="0"/>
        <v>0.85423922520442075</v>
      </c>
      <c r="D30" s="43">
        <f t="shared" si="1"/>
        <v>0.95192172280111764</v>
      </c>
    </row>
    <row r="31" spans="1:17">
      <c r="A31" s="26">
        <v>30</v>
      </c>
      <c r="B31" s="43">
        <f>IF(Introduction!$D$10="Females",HLOOKUP(Introduction!D$11,$B$2:$H$19,ROW()-ROW(B$26)+2,FALSE),HLOOKUP(Introduction!D$11,$K$2:$Q$19,ROW()-ROW(B$26)+2,FALSE))</f>
        <v>-0.82136257147134217</v>
      </c>
      <c r="C31" s="43">
        <f t="shared" si="0"/>
        <v>0.83790540707322081</v>
      </c>
      <c r="D31" s="43">
        <f t="shared" si="1"/>
        <v>0.93372012793563808</v>
      </c>
    </row>
    <row r="32" spans="1:17">
      <c r="A32" s="26">
        <v>35</v>
      </c>
      <c r="B32" s="43">
        <f>IF(Introduction!$D$10="Females",HLOOKUP(Introduction!D$11,$B$2:$H$19,ROW()-ROW(B$26)+2,FALSE),HLOOKUP(Introduction!D$11,$K$2:$Q$19,ROW()-ROW(B$26)+2,FALSE))</f>
        <v>-0.75642199010305966</v>
      </c>
      <c r="C32" s="43">
        <f t="shared" si="0"/>
        <v>0.81948230217433249</v>
      </c>
      <c r="D32" s="43">
        <f t="shared" si="1"/>
        <v>0.91319033576822883</v>
      </c>
    </row>
    <row r="33" spans="1:4">
      <c r="A33" s="26">
        <v>40</v>
      </c>
      <c r="B33" s="43">
        <f>IF(Introduction!$D$10="Females",HLOOKUP(Introduction!D$11,$B$2:$H$19,ROW()-ROW(B$26)+2,FALSE),HLOOKUP(Introduction!D$11,$K$2:$Q$19,ROW()-ROW(B$26)+2,FALSE))</f>
        <v>-0.68862800696556059</v>
      </c>
      <c r="C33" s="43">
        <f t="shared" si="0"/>
        <v>0.79854994248427658</v>
      </c>
      <c r="D33" s="43">
        <f t="shared" si="1"/>
        <v>0.88986435481285608</v>
      </c>
    </row>
    <row r="34" spans="1:4">
      <c r="A34" s="26">
        <v>45</v>
      </c>
      <c r="B34" s="43">
        <f>IF(Introduction!$D$10="Females",HLOOKUP(Introduction!D$11,$B$2:$H$19,ROW()-ROW(B$26)+2,FALSE),HLOOKUP(Introduction!D$11,$K$2:$Q$19,ROW()-ROW(B$26)+2,FALSE))</f>
        <v>-0.61631192568392912</v>
      </c>
      <c r="C34" s="43">
        <f t="shared" si="0"/>
        <v>0.77427747965837634</v>
      </c>
      <c r="D34" s="43">
        <f t="shared" si="1"/>
        <v>0.86281632898106653</v>
      </c>
    </row>
    <row r="35" spans="1:4">
      <c r="A35" s="26">
        <v>50</v>
      </c>
      <c r="B35" s="43">
        <f>IF(Introduction!$D$10="Females",HLOOKUP(Introduction!D$11,$B$2:$H$19,ROW()-ROW(B$26)+2,FALSE),HLOOKUP(Introduction!D$11,$K$2:$Q$19,ROW()-ROW(B$26)+2,FALSE))</f>
        <v>-0.53540369879947558</v>
      </c>
      <c r="C35" s="43">
        <f t="shared" si="0"/>
        <v>0.74475043019983123</v>
      </c>
      <c r="D35" s="43">
        <f t="shared" si="1"/>
        <v>0.82991285304540474</v>
      </c>
    </row>
    <row r="36" spans="1:4">
      <c r="A36" s="26">
        <v>55</v>
      </c>
      <c r="B36" s="43">
        <f>IF(Introduction!$D$10="Females",HLOOKUP(Introduction!D$11,$B$2:$H$19,ROW()-ROW(B$26)+2,FALSE),HLOOKUP(Introduction!D$11,$K$2:$Q$19,ROW()-ROW(B$26)+2,FALSE))</f>
        <v>-0.43713086722588262</v>
      </c>
      <c r="C36" s="43">
        <f t="shared" si="0"/>
        <v>0.70563170184684654</v>
      </c>
      <c r="D36" s="43">
        <f t="shared" si="1"/>
        <v>0.78632088701428393</v>
      </c>
    </row>
    <row r="37" spans="1:4">
      <c r="A37" s="26">
        <v>60</v>
      </c>
      <c r="B37" s="43">
        <f>IF(Introduction!$D$10="Females",HLOOKUP(Introduction!D$11,$B$2:$H$19,ROW()-ROW(B$26)+2,FALSE),HLOOKUP(Introduction!D$11,$K$2:$Q$19,ROW()-ROW(B$26)+2,FALSE))</f>
        <v>-0.3186589915311997</v>
      </c>
      <c r="C37" s="43">
        <f t="shared" si="0"/>
        <v>0.65414693563731818</v>
      </c>
      <c r="D37" s="43">
        <f t="shared" si="1"/>
        <v>0.72894882319169485</v>
      </c>
    </row>
    <row r="38" spans="1:4">
      <c r="A38" s="26">
        <v>65</v>
      </c>
      <c r="B38" s="43">
        <f>IF(Introduction!$D$10="Females",HLOOKUP(Introduction!D$11,$B$2:$H$19,ROW()-ROW(B$26)+2,FALSE),HLOOKUP(Introduction!D$11,$K$2:$Q$19,ROW()-ROW(B$26)+2,FALSE))</f>
        <v>-0.16637525937102554</v>
      </c>
      <c r="C38" s="43">
        <f t="shared" si="0"/>
        <v>0.58242846953373018</v>
      </c>
      <c r="D38" s="43">
        <f t="shared" si="1"/>
        <v>0.64902933015548614</v>
      </c>
    </row>
    <row r="39" spans="1:4">
      <c r="A39" s="26">
        <v>70</v>
      </c>
      <c r="B39" s="43">
        <f>IF(Introduction!$D$10="Females",HLOOKUP(Introduction!D$11,$B$2:$H$19,ROW()-ROW(B$26)+2,FALSE),HLOOKUP(Introduction!D$11,$K$2:$Q$19,ROW()-ROW(B$26)+2,FALSE))</f>
        <v>2.5988333390229997E-2</v>
      </c>
      <c r="C39" s="43">
        <f t="shared" si="0"/>
        <v>0.48700875790657316</v>
      </c>
      <c r="D39" s="43">
        <f t="shared" si="1"/>
        <v>0.54269834745029266</v>
      </c>
    </row>
    <row r="40" spans="1:4">
      <c r="A40" s="26">
        <v>75</v>
      </c>
      <c r="B40" s="43">
        <f>IF(Introduction!$D$10="Females",HLOOKUP(Introduction!D$11,$B$2:$H$19,ROW()-ROW(B$26)+2,FALSE),HLOOKUP(Introduction!D$11,$K$2:$Q$19,ROW()-ROW(B$26)+2,FALSE))</f>
        <v>0.27789225951999852</v>
      </c>
      <c r="C40" s="43">
        <f t="shared" si="0"/>
        <v>0.36452340060045252</v>
      </c>
      <c r="D40" s="43">
        <f t="shared" si="1"/>
        <v>0.40620675480907309</v>
      </c>
    </row>
    <row r="41" spans="1:4">
      <c r="A41" s="26">
        <v>80</v>
      </c>
      <c r="B41" s="43">
        <f>IF(Introduction!$D$10="Females",HLOOKUP(Introduction!D$11,$B$2:$H$19,ROW()-ROW(B$26)+2,FALSE),HLOOKUP(Introduction!D$11,$K$2:$Q$19,ROW()-ROW(B$26)+2,FALSE))</f>
        <v>0.60865330973735543</v>
      </c>
      <c r="C41" s="43">
        <f t="shared" si="0"/>
        <v>0.22841078280632193</v>
      </c>
      <c r="D41" s="43">
        <f t="shared" si="1"/>
        <v>0.25452962057942813</v>
      </c>
    </row>
    <row r="42" spans="1:4">
      <c r="A42" s="30">
        <v>85</v>
      </c>
      <c r="B42" s="44">
        <f>IF(Introduction!$D$10="Females",HLOOKUP(Introduction!D$11,$B$2:$H$19,ROW()-ROW(B$26)+2,FALSE),HLOOKUP(Introduction!D$11,$K$2:$Q$19,ROW()-ROW(B$26)+2,FALSE))</f>
        <v>1.0566921142266263</v>
      </c>
      <c r="C42" s="44">
        <f>1/(1+EXP(2*B42))</f>
        <v>0.10780273495859073</v>
      </c>
      <c r="D42" s="44">
        <f>C42/C$26</f>
        <v>0.12013000826542107</v>
      </c>
    </row>
  </sheetData>
  <sheetProtection sheet="1" objects="1" scenarios="1"/>
  <dataValidations count="1">
    <dataValidation type="decimal" allowBlank="1" showInputMessage="1" showErrorMessage="1" error="Enter valid numeric values for the logits" sqref="H3:H19 Q3:Q19">
      <formula1>-2</formula1>
      <formula2>2</formula2>
    </dataValidation>
  </dataValidations>
  <pageMargins left="0.70866141732283472" right="0.70866141732283472" top="0.74803149606299213" bottom="0.74803149606299213" header="0.31496062992125984" footer="0.31496062992125984"/>
  <pageSetup paperSize="9" orientation="portrait" r:id="rId1"/>
  <headerFooter>
    <oddHeader xml:space="preserve">&amp;L&amp;"Cambria,Bold"&amp;14Tools for Demographic Estimation&amp;R&amp;"Cambria,Bold"&amp;14Orphanhood </oddHeader>
    <oddFooter>&amp;L&amp;"+,Regular"&amp;F&amp;R&amp;"+,Regular"&amp;D  &amp;T</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8"/>
  <sheetViews>
    <sheetView zoomScaleNormal="100" workbookViewId="0">
      <selection activeCell="G2" sqref="G2"/>
    </sheetView>
  </sheetViews>
  <sheetFormatPr defaultRowHeight="12.75"/>
  <cols>
    <col min="1" max="2" width="9.28515625" bestFit="1" customWidth="1"/>
    <col min="3" max="3" width="10.42578125" customWidth="1"/>
    <col min="4" max="4" width="12" customWidth="1"/>
    <col min="5" max="5" width="13.28515625" bestFit="1" customWidth="1"/>
    <col min="6" max="6" width="10.85546875" customWidth="1"/>
    <col min="7" max="7" width="13.5703125" customWidth="1"/>
    <col min="8" max="8" width="10.28515625" customWidth="1"/>
    <col min="9" max="9" width="10.85546875" customWidth="1"/>
    <col min="10" max="10" width="9.85546875" bestFit="1" customWidth="1"/>
    <col min="11" max="11" width="5.42578125" customWidth="1"/>
  </cols>
  <sheetData>
    <row r="1" spans="1:12" ht="15.75">
      <c r="A1" s="8" t="s">
        <v>24</v>
      </c>
      <c r="B1" s="8"/>
      <c r="C1" s="75" t="str">
        <f>Introduction!D9</f>
        <v>El Salvador</v>
      </c>
      <c r="D1" s="8"/>
      <c r="E1" s="8"/>
      <c r="F1" s="8" t="s">
        <v>26</v>
      </c>
      <c r="G1" s="8"/>
      <c r="H1" s="8"/>
      <c r="I1" s="8"/>
      <c r="J1" s="8"/>
      <c r="K1" s="7"/>
    </row>
    <row r="2" spans="1:12">
      <c r="A2" s="8" t="s">
        <v>25</v>
      </c>
      <c r="B2" s="75"/>
      <c r="C2" s="9">
        <f>YEAR(Introduction!D13)+YEARFRAC(DATE(YEAR(Introduction!D13),1,1),Introduction!D13,1)+YEARFRAC(Introduction!D13,Introduction!D14+1,1)/2</f>
        <v>1961.5</v>
      </c>
      <c r="D2" s="8" t="s">
        <v>116</v>
      </c>
      <c r="E2" s="9">
        <f>YEAR(Introduction!D12)+YEARFRAC(DATE(YEAR(Introduction!D12),1,1),Introduction!D12,1)</f>
        <v>1961.3397260273973</v>
      </c>
      <c r="F2" s="8" t="s">
        <v>0</v>
      </c>
      <c r="G2" s="98">
        <v>5</v>
      </c>
      <c r="H2" s="8"/>
      <c r="I2" s="17" t="s">
        <v>118</v>
      </c>
      <c r="J2" s="129">
        <v>3.0646265011555124E-2</v>
      </c>
      <c r="K2" s="8"/>
    </row>
    <row r="3" spans="1:12">
      <c r="A3" s="8" t="s">
        <v>33</v>
      </c>
      <c r="B3" s="8"/>
      <c r="C3" s="8" t="str">
        <f>Introduction!D10</f>
        <v>Females</v>
      </c>
      <c r="D3" s="8" t="s">
        <v>117</v>
      </c>
      <c r="E3" s="8">
        <f>YEARFRAC(Introduction!D13,Introduction!D14+1,1)</f>
        <v>1</v>
      </c>
      <c r="F3" s="8" t="s">
        <v>2</v>
      </c>
      <c r="G3" s="99">
        <v>74</v>
      </c>
      <c r="H3" s="8"/>
      <c r="I3" s="10" t="s">
        <v>27</v>
      </c>
      <c r="J3" s="77">
        <f ca="1">AVEDEV(INDIRECT(ADDRESS(ROW(I8)+G2/5,I7)):INDIRECT(ADDRESS(ROW(I8)+INT(G3/5),I7)))</f>
        <v>2.2785285082595079E-2</v>
      </c>
    </row>
    <row r="4" spans="1:12" ht="15.75">
      <c r="A4" s="8"/>
      <c r="B4" s="8"/>
      <c r="C4" s="8"/>
      <c r="D4" s="8"/>
      <c r="E4" s="8"/>
      <c r="F4" s="110" t="str">
        <f>"(upper age must be less than  " &amp; TEXT(MAX(B20:B24)+5,"0"&amp;")")</f>
        <v>(upper age must be less than  75)</v>
      </c>
      <c r="G4" s="8"/>
      <c r="H4" s="8"/>
      <c r="I4" s="8"/>
      <c r="J4" s="8"/>
      <c r="K4" s="7"/>
    </row>
    <row r="5" spans="1:12" ht="15.75">
      <c r="A5" s="8"/>
      <c r="B5" s="8"/>
      <c r="C5" s="76"/>
      <c r="D5" s="8"/>
      <c r="E5" s="8"/>
      <c r="F5" s="10"/>
      <c r="G5" s="10"/>
      <c r="H5" s="78"/>
      <c r="I5" s="78"/>
      <c r="J5" s="78"/>
      <c r="K5" s="7"/>
    </row>
    <row r="6" spans="1:12" ht="15.75">
      <c r="A6" s="79" t="s">
        <v>5</v>
      </c>
      <c r="B6" s="79" t="s">
        <v>4</v>
      </c>
      <c r="C6" s="80" t="s">
        <v>121</v>
      </c>
      <c r="D6" s="80" t="s">
        <v>109</v>
      </c>
      <c r="E6" s="81" t="s">
        <v>110</v>
      </c>
      <c r="F6" s="81" t="s">
        <v>111</v>
      </c>
      <c r="G6" s="81" t="s">
        <v>112</v>
      </c>
      <c r="H6" s="82" t="s">
        <v>113</v>
      </c>
      <c r="I6" s="82" t="s">
        <v>114</v>
      </c>
      <c r="J6" s="83"/>
      <c r="K6" s="7"/>
      <c r="L6" s="4"/>
    </row>
    <row r="7" spans="1:12" ht="15.75">
      <c r="A7" s="84">
        <f>COLUMN()</f>
        <v>1</v>
      </c>
      <c r="B7" s="84">
        <f>COLUMN()</f>
        <v>2</v>
      </c>
      <c r="C7" s="12">
        <f>COLUMN()</f>
        <v>3</v>
      </c>
      <c r="D7" s="12">
        <f>COLUMN()</f>
        <v>4</v>
      </c>
      <c r="E7" s="84">
        <f>COLUMN()</f>
        <v>5</v>
      </c>
      <c r="F7" s="84">
        <f>COLUMN()</f>
        <v>6</v>
      </c>
      <c r="G7" s="84">
        <f>COLUMN()</f>
        <v>7</v>
      </c>
      <c r="H7" s="84">
        <f>COLUMN()</f>
        <v>8</v>
      </c>
      <c r="I7" s="84">
        <f>COLUMN()</f>
        <v>9</v>
      </c>
      <c r="J7" s="84"/>
      <c r="K7" s="7"/>
      <c r="L7" s="4"/>
    </row>
    <row r="8" spans="1:12" ht="15.75">
      <c r="A8" s="85" t="s">
        <v>10</v>
      </c>
      <c r="B8" s="86">
        <v>0</v>
      </c>
      <c r="C8" s="97">
        <v>214089</v>
      </c>
      <c r="D8" s="97">
        <v>6909</v>
      </c>
      <c r="E8" s="87"/>
      <c r="F8" s="87"/>
      <c r="G8" s="88">
        <f t="shared" ref="G8:G19" si="0">E$3*C8</f>
        <v>214089</v>
      </c>
      <c r="H8" s="78"/>
      <c r="I8" s="78"/>
      <c r="J8" s="78"/>
      <c r="K8" s="7"/>
    </row>
    <row r="9" spans="1:12" ht="15.75">
      <c r="A9" s="85" t="s">
        <v>11</v>
      </c>
      <c r="B9" s="86">
        <v>5</v>
      </c>
      <c r="C9" s="97">
        <v>190234</v>
      </c>
      <c r="D9" s="97">
        <v>610</v>
      </c>
      <c r="E9" s="88">
        <f t="shared" ref="E9:E20" si="1">E10*EXP(5*J$2)+D9*EXP(2.5*J$2)</f>
        <v>35431.050008585225</v>
      </c>
      <c r="F9" s="88">
        <f t="shared" ref="F9:F19" si="2">2.5*(E9+E10)</f>
        <v>163158.6116943488</v>
      </c>
      <c r="G9" s="88">
        <f t="shared" si="0"/>
        <v>190234</v>
      </c>
      <c r="H9" s="89">
        <f>F9/G9</f>
        <v>0.85767324292370872</v>
      </c>
      <c r="I9" s="89">
        <f>SUM(F9:F$24)/SUM(G9:G$24)</f>
        <v>0.8878951604773403</v>
      </c>
      <c r="J9" s="89"/>
      <c r="K9" s="7"/>
      <c r="L9" s="4"/>
    </row>
    <row r="10" spans="1:12" ht="15.75">
      <c r="A10" s="85" t="s">
        <v>12</v>
      </c>
      <c r="B10" s="86">
        <v>10</v>
      </c>
      <c r="C10" s="97">
        <v>149538</v>
      </c>
      <c r="D10" s="97">
        <v>214</v>
      </c>
      <c r="E10" s="88">
        <f t="shared" si="1"/>
        <v>29832.394669154299</v>
      </c>
      <c r="F10" s="88">
        <f t="shared" si="2"/>
        <v>138070.80339987294</v>
      </c>
      <c r="G10" s="88">
        <f t="shared" si="0"/>
        <v>149538</v>
      </c>
      <c r="H10" s="89">
        <f t="shared" ref="H10:H19" si="3">F10/G10</f>
        <v>0.92331583543897167</v>
      </c>
      <c r="I10" s="89">
        <f>SUM(F10:F$24)/SUM(G10:G$24)</f>
        <v>0.89462936113152003</v>
      </c>
      <c r="J10" s="89"/>
      <c r="K10" s="7"/>
      <c r="L10" s="4"/>
    </row>
    <row r="11" spans="1:12" ht="15.75">
      <c r="A11" s="85" t="s">
        <v>13</v>
      </c>
      <c r="B11" s="86">
        <v>15</v>
      </c>
      <c r="C11" s="97">
        <v>125040</v>
      </c>
      <c r="D11" s="97">
        <v>266</v>
      </c>
      <c r="E11" s="88">
        <f t="shared" si="1"/>
        <v>25395.92669079488</v>
      </c>
      <c r="F11" s="88">
        <f t="shared" si="2"/>
        <v>117343.76034205097</v>
      </c>
      <c r="G11" s="88">
        <f t="shared" si="0"/>
        <v>125040</v>
      </c>
      <c r="H11" s="89">
        <f t="shared" si="3"/>
        <v>0.93844977880718949</v>
      </c>
      <c r="I11" s="89">
        <f>SUM(F11:F$24)/SUM(G11:G$24)</f>
        <v>0.88853773362993649</v>
      </c>
      <c r="J11" s="89"/>
      <c r="K11" s="7"/>
    </row>
    <row r="12" spans="1:12" ht="15.75">
      <c r="A12" s="85" t="s">
        <v>14</v>
      </c>
      <c r="B12" s="86">
        <v>20</v>
      </c>
      <c r="C12" s="97">
        <v>113490</v>
      </c>
      <c r="D12" s="97">
        <v>291</v>
      </c>
      <c r="E12" s="88">
        <f t="shared" si="1"/>
        <v>21541.577446025509</v>
      </c>
      <c r="F12" s="88">
        <f t="shared" si="2"/>
        <v>99383.080322324065</v>
      </c>
      <c r="G12" s="88">
        <f t="shared" si="0"/>
        <v>113490</v>
      </c>
      <c r="H12" s="89">
        <f t="shared" si="3"/>
        <v>0.87569900715767091</v>
      </c>
      <c r="I12" s="89">
        <f>SUM(F12:F$24)/SUM(G12:G$24)</f>
        <v>0.87776175996991579</v>
      </c>
      <c r="J12" s="89"/>
      <c r="K12" s="7"/>
    </row>
    <row r="13" spans="1:12" ht="15.75">
      <c r="A13" s="85" t="s">
        <v>15</v>
      </c>
      <c r="B13" s="86">
        <v>25</v>
      </c>
      <c r="C13" s="97">
        <v>91663</v>
      </c>
      <c r="D13" s="97">
        <v>271</v>
      </c>
      <c r="E13" s="88">
        <f t="shared" si="1"/>
        <v>18211.654682904118</v>
      </c>
      <c r="F13" s="88">
        <f t="shared" si="2"/>
        <v>83962.473807955175</v>
      </c>
      <c r="G13" s="88">
        <f t="shared" si="0"/>
        <v>91663</v>
      </c>
      <c r="H13" s="89">
        <f t="shared" si="3"/>
        <v>0.9159908993591217</v>
      </c>
      <c r="I13" s="89">
        <f>SUM(F13:F$24)/SUM(G13:G$24)</f>
        <v>0.87826448146664782</v>
      </c>
      <c r="J13" s="89"/>
      <c r="K13" s="7"/>
    </row>
    <row r="14" spans="1:12" ht="15.75">
      <c r="A14" s="85" t="s">
        <v>16</v>
      </c>
      <c r="B14" s="86">
        <v>30</v>
      </c>
      <c r="C14" s="97">
        <v>77711</v>
      </c>
      <c r="D14" s="97">
        <v>315</v>
      </c>
      <c r="E14" s="88">
        <f t="shared" si="1"/>
        <v>15373.334840277956</v>
      </c>
      <c r="F14" s="88">
        <f t="shared" si="2"/>
        <v>70677.079025930667</v>
      </c>
      <c r="G14" s="88">
        <f t="shared" si="0"/>
        <v>77711</v>
      </c>
      <c r="H14" s="89">
        <f t="shared" si="3"/>
        <v>0.90948616059413301</v>
      </c>
      <c r="I14" s="89">
        <f>SUM(F14:F$24)/SUM(G14:G$24)</f>
        <v>0.86901832861541595</v>
      </c>
      <c r="J14" s="89"/>
      <c r="K14" s="7"/>
    </row>
    <row r="15" spans="1:12" ht="15.75">
      <c r="A15" s="85" t="s">
        <v>17</v>
      </c>
      <c r="B15" s="86">
        <v>35</v>
      </c>
      <c r="C15" s="97">
        <v>72936</v>
      </c>
      <c r="D15" s="97">
        <v>349</v>
      </c>
      <c r="E15" s="88">
        <f t="shared" si="1"/>
        <v>12897.496770094313</v>
      </c>
      <c r="F15" s="88">
        <f t="shared" si="2"/>
        <v>59098.505908751576</v>
      </c>
      <c r="G15" s="88">
        <f t="shared" si="0"/>
        <v>72936</v>
      </c>
      <c r="H15" s="89">
        <f t="shared" si="3"/>
        <v>0.81027895564263985</v>
      </c>
      <c r="I15" s="89">
        <f>SUM(F15:F$24)/SUM(G15:G$24)</f>
        <v>0.85840459672355773</v>
      </c>
      <c r="J15" s="89"/>
      <c r="K15" s="7"/>
    </row>
    <row r="16" spans="1:12" ht="15.75">
      <c r="A16" s="85" t="s">
        <v>18</v>
      </c>
      <c r="B16" s="86">
        <v>40</v>
      </c>
      <c r="C16" s="97">
        <v>56942</v>
      </c>
      <c r="D16" s="97">
        <v>338</v>
      </c>
      <c r="E16" s="88">
        <f t="shared" si="1"/>
        <v>10741.905593406318</v>
      </c>
      <c r="F16" s="88">
        <f>2.5*(E16+E17)</f>
        <v>49111.627209525497</v>
      </c>
      <c r="G16" s="88">
        <f t="shared" si="0"/>
        <v>56942</v>
      </c>
      <c r="H16" s="89">
        <f t="shared" si="3"/>
        <v>0.86248511133303185</v>
      </c>
      <c r="I16" s="89">
        <f>SUM(F16:F$24)/SUM(G16:G$24)</f>
        <v>0.87411961943532601</v>
      </c>
      <c r="J16" s="89"/>
      <c r="K16" s="7"/>
    </row>
    <row r="17" spans="1:20" ht="15.75">
      <c r="A17" s="85" t="s">
        <v>19</v>
      </c>
      <c r="B17" s="86">
        <v>45</v>
      </c>
      <c r="C17" s="97">
        <v>46205</v>
      </c>
      <c r="D17" s="97">
        <v>357</v>
      </c>
      <c r="E17" s="88">
        <f t="shared" si="1"/>
        <v>8902.7452904038801</v>
      </c>
      <c r="F17" s="88">
        <f t="shared" si="2"/>
        <v>40525.047089197964</v>
      </c>
      <c r="G17" s="88">
        <f t="shared" si="0"/>
        <v>46205</v>
      </c>
      <c r="H17" s="89">
        <f t="shared" si="3"/>
        <v>0.87707060035056739</v>
      </c>
      <c r="I17" s="89">
        <f>SUM(F17:F$24)/SUM(G17:G$24)</f>
        <v>0.87810053581022063</v>
      </c>
      <c r="J17" s="89"/>
      <c r="K17" s="7"/>
    </row>
    <row r="18" spans="1:20" ht="15.75">
      <c r="A18" s="85" t="s">
        <v>20</v>
      </c>
      <c r="B18" s="86">
        <v>50</v>
      </c>
      <c r="C18" s="97">
        <v>38616</v>
      </c>
      <c r="D18" s="97">
        <v>385</v>
      </c>
      <c r="E18" s="88">
        <f t="shared" si="1"/>
        <v>7307.273545275305</v>
      </c>
      <c r="F18" s="88">
        <f t="shared" si="2"/>
        <v>33049.517898865197</v>
      </c>
      <c r="G18" s="88">
        <f t="shared" si="0"/>
        <v>38616</v>
      </c>
      <c r="H18" s="89">
        <f t="shared" si="3"/>
        <v>0.8558503702834368</v>
      </c>
      <c r="I18" s="89">
        <f>SUM(F18:F$24)/SUM(G18:G$24)</f>
        <v>0.87849640450813182</v>
      </c>
      <c r="J18" s="89"/>
      <c r="K18" s="7"/>
    </row>
    <row r="19" spans="1:20" ht="15.75">
      <c r="A19" s="85" t="s">
        <v>21</v>
      </c>
      <c r="B19" s="86">
        <v>55</v>
      </c>
      <c r="C19" s="97">
        <v>26154</v>
      </c>
      <c r="D19" s="97">
        <v>387</v>
      </c>
      <c r="E19" s="88">
        <f t="shared" si="1"/>
        <v>5912.5336142707738</v>
      </c>
      <c r="F19" s="88">
        <f t="shared" si="2"/>
        <v>26566.559453717498</v>
      </c>
      <c r="G19" s="88">
        <f t="shared" si="0"/>
        <v>26154</v>
      </c>
      <c r="H19" s="89">
        <f t="shared" si="3"/>
        <v>1.0157742392642617</v>
      </c>
      <c r="I19" s="89">
        <f>SUM(F19:F$24)/SUM(G19:G$24)</f>
        <v>0.88921383253917285</v>
      </c>
      <c r="J19" s="89"/>
      <c r="K19" s="7"/>
    </row>
    <row r="20" spans="1:20" ht="15.75">
      <c r="A20" s="85" t="s">
        <v>22</v>
      </c>
      <c r="B20" s="86">
        <v>60</v>
      </c>
      <c r="C20" s="97">
        <v>29273</v>
      </c>
      <c r="D20" s="97">
        <v>647</v>
      </c>
      <c r="E20" s="88">
        <f t="shared" si="1"/>
        <v>4714.0901672162263</v>
      </c>
      <c r="F20" s="88">
        <f>IF(G$3&gt;59,2.5*(E20+E21),0)</f>
        <v>20397.935906476778</v>
      </c>
      <c r="G20" s="88">
        <f>IF(G$3&gt;59,E$3*C20,0)</f>
        <v>29273</v>
      </c>
      <c r="H20" s="89">
        <f>IF(G$3&gt;60,F20/G20,NA())</f>
        <v>0.69681740533859793</v>
      </c>
      <c r="I20" s="89">
        <f>IF(G$3&gt;60,SUM(F20:F$24)/SUM(G20:G$24),NA())</f>
        <v>0.82951070354873302</v>
      </c>
      <c r="J20" s="89"/>
      <c r="K20" s="7"/>
    </row>
    <row r="21" spans="1:20" ht="15.75">
      <c r="A21" s="90" t="str">
        <f>IF(D21="","", IF(D22="","65+", "65-69"))</f>
        <v>65-69</v>
      </c>
      <c r="B21" s="8">
        <f>IF(D22="","",65)</f>
        <v>65</v>
      </c>
      <c r="C21" s="97">
        <v>14964</v>
      </c>
      <c r="D21" s="97">
        <v>449</v>
      </c>
      <c r="E21" s="88">
        <f>IF(G$3&gt;64,E22*EXP(5*J$2)+D21*EXP(2.5*J$2),IF(G$3=64,(EXP(J$2*Q23)-(J$2*Q23)^2/6)*SUM(D21:D$25),0))</f>
        <v>3445.0841953744844</v>
      </c>
      <c r="F21" s="88">
        <f>IF(G$3&gt;64,2.5*(E21+E22),0)</f>
        <v>14962.112975382679</v>
      </c>
      <c r="G21" s="88">
        <f>IF(G$3&gt;64,E$3*C21,0)</f>
        <v>14964</v>
      </c>
      <c r="H21" s="89">
        <f>IF(G$3&gt;B21,F21/G21,NA())</f>
        <v>0.99987389570854579</v>
      </c>
      <c r="I21" s="89">
        <f>IF(G$3&gt;B21,SUM(F21:F$24)/SUM(G21:G$24),NA())</f>
        <v>0.97794323511299897</v>
      </c>
      <c r="J21" s="89"/>
      <c r="K21" s="7"/>
    </row>
    <row r="22" spans="1:20" ht="15.75">
      <c r="A22" s="90" t="str">
        <f>IF(D22="","", IF(D23="","70+", "70-74"))</f>
        <v>70-74</v>
      </c>
      <c r="B22" s="8">
        <f>IF(D23="","",70)</f>
        <v>70</v>
      </c>
      <c r="C22" s="97">
        <v>11205</v>
      </c>
      <c r="D22" s="97">
        <v>504</v>
      </c>
      <c r="E22" s="88">
        <f>IF(G$3&gt;69,E23*EXP(5*J$2)+D22*EXP(2.5*J$2),IF(G$3=69,(EXP(J$2*Q24)-(J$2*Q24)^2/6)*SUM(D22:D$25),0))</f>
        <v>2539.7609947785868</v>
      </c>
      <c r="F22" s="88">
        <f>IF(G$3&gt;69,2.5*(E22+E23),0)</f>
        <v>10629.683544289392</v>
      </c>
      <c r="G22" s="88">
        <f>IF(G$3&gt;69,E$3*C22,0)</f>
        <v>11205</v>
      </c>
      <c r="H22" s="89">
        <f>IF(G$3&gt;B22,F22/G22,NA())</f>
        <v>0.94865538101645619</v>
      </c>
      <c r="I22" s="89">
        <f>IF(G$3&gt;B22,SUM(F22:F$24)/SUM(G22:G$24),NA())</f>
        <v>0.94865538101645619</v>
      </c>
      <c r="J22" s="89"/>
      <c r="K22" s="7"/>
      <c r="L22" s="78"/>
      <c r="M22" s="102" t="str">
        <f>"Av. "&amp;TEXT(N27,"#")&amp;"-"&amp;TEXT(N28,"#")&amp;":"</f>
        <v>Av. 15-64:</v>
      </c>
      <c r="N22" s="103" t="s">
        <v>31</v>
      </c>
      <c r="O22" s="8"/>
      <c r="P22" s="96" t="s">
        <v>115</v>
      </c>
      <c r="Q22" s="96" t="s">
        <v>44</v>
      </c>
      <c r="S22" s="107"/>
      <c r="T22" s="107"/>
    </row>
    <row r="23" spans="1:20" ht="15.75">
      <c r="A23" s="90" t="str">
        <f>IF(D23="","", IF(D24="","75+", "75-79"))</f>
        <v>75+</v>
      </c>
      <c r="B23" s="8" t="str">
        <f>IF(D24="","",75)</f>
        <v/>
      </c>
      <c r="C23" s="97">
        <v>16193</v>
      </c>
      <c r="D23" s="97">
        <v>1360</v>
      </c>
      <c r="E23" s="88">
        <f>IF(G$3&gt;74,E24*EXP(5*J$2)+D23*EXP(2.5*J$2),IF(G$3=74,(EXP(J$2*Q25)-(J$2*Q25)^2/6)*SUM(D23:D$25),0))</f>
        <v>1712.1124229371701</v>
      </c>
      <c r="F23" s="88">
        <f>IF(G$3&gt;74,2.5*(E23+E24),0)</f>
        <v>0</v>
      </c>
      <c r="G23" s="88">
        <f>IF(G$3&gt;74,E$3*C23,0)</f>
        <v>0</v>
      </c>
      <c r="H23" s="89" t="e">
        <f>IF(G$3&gt;B23,F23/G23,NA())</f>
        <v>#N/A</v>
      </c>
      <c r="I23" s="89" t="e">
        <f>IF(G$3&gt;B23,SUM(F23:F$24)/SUM(G23:G$24),NA())</f>
        <v>#N/A</v>
      </c>
      <c r="J23" s="89"/>
      <c r="K23" s="7"/>
      <c r="L23" s="95" t="s">
        <v>119</v>
      </c>
      <c r="M23" s="138">
        <f ca="1">(MEDIAN(INDIRECT(ADDRESS(ROW(H8)+N27/5,H7)):INDIRECT(ADDRESS(ROW(H8)+N28/5,H7)))*0.5+(PERCENTILE(INDIRECT(ADDRESS(ROW(H8)+N27/5,H7)):INDIRECT(ADDRESS(ROW(H8)+N28/5,H7)),0.25)+PERCENTILE(INDIRECT(ADDRESS(ROW(H8)+N27/5,H7)):INDIRECT(ADDRESS(ROW(H8)+N28/5,H7)),0.75))*0.25)*EXP(J$2*(E$2-C$2))</f>
        <v>0.87684337175261962</v>
      </c>
      <c r="N23" s="100">
        <f>I11</f>
        <v>0.88853773362993649</v>
      </c>
      <c r="O23" s="8"/>
      <c r="P23" s="84">
        <v>65</v>
      </c>
      <c r="Q23" s="104">
        <v>13.147142788509239</v>
      </c>
      <c r="S23" s="19"/>
    </row>
    <row r="24" spans="1:20" ht="15.75">
      <c r="A24" s="90" t="str">
        <f>IF(D24="","", IF(D25="","80+", "80-84"))</f>
        <v/>
      </c>
      <c r="B24" s="8" t="str">
        <f>IF(D25="","",80)</f>
        <v/>
      </c>
      <c r="C24" s="139"/>
      <c r="D24" s="139"/>
      <c r="E24" s="88">
        <f>IF(G$3&gt;79,E25*EXP(5*J$2)+D24*EXP(2.5*J$2),IF(G$3=79,(EXP(J$2*Q26)-(J$2*Q26)^2/6)*SUM(D24:D$25),0))</f>
        <v>0</v>
      </c>
      <c r="F24" s="88">
        <f>IF(G$3&gt;79,2.5*(E24+E25),0)</f>
        <v>0</v>
      </c>
      <c r="G24" s="88">
        <f>IF(G$3&gt;79,E$3*C24,0)</f>
        <v>0</v>
      </c>
      <c r="H24" s="89" t="e">
        <f>IF(G$3&gt;B24,F24/G24,NA())</f>
        <v>#N/A</v>
      </c>
      <c r="I24" s="89" t="e">
        <f>IF(G$3&gt;B24,SUM(F24:F$24)/SUM(G24:G$24),NA())</f>
        <v>#N/A</v>
      </c>
      <c r="J24" s="89"/>
      <c r="K24" s="7"/>
      <c r="L24" s="10" t="s">
        <v>29</v>
      </c>
      <c r="M24" s="100">
        <f ca="1">M23-(PERCENTILE(INDIRECT(ADDRESS(ROW(H8)+N27/5,H7)):INDIRECT(ADDRESS(ROW(H8)+N28/5,H7)),0.75)-PERCENTILE(INDIRECT(ADDRESS(ROW(H8)+N27/5,H7)):INDIRECT(ADDRESS(ROW(H8)+N28/5,H7)),0.25))</f>
        <v>0.81998771263058068</v>
      </c>
      <c r="N24" s="101"/>
      <c r="P24" s="84">
        <v>70</v>
      </c>
      <c r="Q24" s="104">
        <v>10.214839527432897</v>
      </c>
      <c r="S24" s="19"/>
    </row>
    <row r="25" spans="1:20" ht="15.75">
      <c r="A25" s="90" t="str">
        <f>IF(D25="","","85+")</f>
        <v/>
      </c>
      <c r="B25" s="8"/>
      <c r="C25" s="139"/>
      <c r="D25" s="139"/>
      <c r="E25" s="88">
        <f>IF(G$3&gt;84,E26*EXP(5*J$2)+D25*EXP(2.5*J$2),IF(G$3=84,(EXP(J$2*Q27)-(J$2*Q27)^2/6)*SUM(D25:D$25),0))</f>
        <v>0</v>
      </c>
      <c r="F25" s="88"/>
      <c r="G25" s="88"/>
      <c r="H25" s="78"/>
      <c r="I25" s="78"/>
      <c r="J25" s="78"/>
      <c r="K25" s="7"/>
      <c r="L25" s="10" t="s">
        <v>30</v>
      </c>
      <c r="M25" s="100">
        <f ca="1">M23+(PERCENTILE(INDIRECT(ADDRESS(ROW(H8)+N27/5,H7)):INDIRECT(ADDRESS(ROW(H8)+N28/5,H7)),0.75)-PERCENTILE(INDIRECT(ADDRESS(ROW(H8)+N27/5,H7)):INDIRECT(ADDRESS(ROW(H8)+N28/5,H7)),0.25))</f>
        <v>0.93369903087465855</v>
      </c>
      <c r="N25" s="101"/>
      <c r="P25" s="84">
        <v>75</v>
      </c>
      <c r="Q25" s="104">
        <v>7.7560943322001723</v>
      </c>
      <c r="S25" s="19"/>
      <c r="T25" s="19"/>
    </row>
    <row r="26" spans="1:20">
      <c r="A26" s="91"/>
      <c r="B26" s="92"/>
      <c r="C26" s="93"/>
      <c r="D26" s="93"/>
      <c r="E26" s="10"/>
      <c r="F26" s="10"/>
      <c r="G26" s="10"/>
      <c r="H26" s="78"/>
      <c r="M26" s="8" t="s">
        <v>120</v>
      </c>
      <c r="N26" s="8"/>
      <c r="P26" s="84">
        <v>80</v>
      </c>
      <c r="Q26" s="104">
        <v>5.7972355964654856</v>
      </c>
      <c r="S26" s="19"/>
    </row>
    <row r="27" spans="1:20">
      <c r="A27" s="91" t="s">
        <v>23</v>
      </c>
      <c r="B27" s="92"/>
      <c r="C27" s="94">
        <f>SUM(C8:C26)</f>
        <v>1274253</v>
      </c>
      <c r="D27" s="94">
        <f t="shared" ref="D27" si="4">SUM(D8:D26)</f>
        <v>13652</v>
      </c>
      <c r="E27" s="89"/>
      <c r="F27" s="10"/>
      <c r="G27" s="87">
        <f>SUM(G8:G25)</f>
        <v>1258060</v>
      </c>
      <c r="M27" s="17" t="s">
        <v>28</v>
      </c>
      <c r="N27" s="98">
        <v>15</v>
      </c>
      <c r="P27" s="84">
        <v>85</v>
      </c>
      <c r="Q27" s="104">
        <v>4.3210189024569345</v>
      </c>
      <c r="S27" s="19"/>
    </row>
    <row r="28" spans="1:20">
      <c r="A28" s="8"/>
      <c r="B28" s="8"/>
      <c r="C28" s="10"/>
      <c r="D28" s="10"/>
      <c r="F28" s="10"/>
      <c r="M28" s="17" t="s">
        <v>2</v>
      </c>
      <c r="N28" s="99">
        <v>64</v>
      </c>
    </row>
    <row r="29" spans="1:20">
      <c r="A29" s="8"/>
      <c r="B29" s="8"/>
      <c r="C29" s="10"/>
      <c r="D29" s="10"/>
    </row>
    <row r="30" spans="1:20">
      <c r="A30" s="8"/>
      <c r="B30" s="8"/>
      <c r="C30" s="10"/>
      <c r="D30" s="10"/>
    </row>
    <row r="31" spans="1:20">
      <c r="A31" s="8"/>
      <c r="C31" s="10"/>
      <c r="D31" s="10"/>
      <c r="G31" s="10"/>
    </row>
    <row r="32" spans="1:20">
      <c r="A32" s="8"/>
      <c r="B32" s="8"/>
      <c r="C32" s="10"/>
      <c r="D32" s="10"/>
      <c r="G32" s="10"/>
    </row>
    <row r="33" spans="1:11">
      <c r="A33" s="8"/>
      <c r="B33" s="8"/>
      <c r="C33" s="10"/>
      <c r="D33" s="10"/>
      <c r="G33" s="10"/>
      <c r="J33" s="8"/>
    </row>
    <row r="34" spans="1:11" ht="15.75">
      <c r="A34" s="8"/>
      <c r="B34" s="8"/>
      <c r="C34" s="10"/>
      <c r="D34" s="10"/>
      <c r="G34" s="10"/>
      <c r="H34" s="8"/>
      <c r="I34" s="8"/>
      <c r="J34" s="78"/>
      <c r="K34" s="7"/>
    </row>
    <row r="35" spans="1:11">
      <c r="H35" s="1"/>
      <c r="I35" s="1"/>
      <c r="J35" s="1"/>
    </row>
    <row r="36" spans="1:11">
      <c r="H36" s="1"/>
      <c r="I36" s="1"/>
      <c r="J36" s="1"/>
    </row>
    <row r="37" spans="1:11" ht="15">
      <c r="C37" s="2"/>
      <c r="D37" s="5"/>
      <c r="E37" s="5"/>
      <c r="F37" s="5"/>
      <c r="G37" s="5"/>
      <c r="H37" s="3"/>
      <c r="I37" s="3"/>
      <c r="J37" s="3"/>
    </row>
    <row r="38" spans="1:11" ht="15">
      <c r="C38" s="2"/>
      <c r="D38" s="6"/>
      <c r="E38" s="2"/>
      <c r="F38" s="2"/>
      <c r="G38" s="2"/>
      <c r="H38" s="3"/>
      <c r="I38" s="3"/>
      <c r="J38" s="3"/>
    </row>
  </sheetData>
  <sheetProtection sheet="1" objects="1" scenarios="1"/>
  <protectedRanges>
    <protectedRange sqref="Q23:Q27" name="Range3"/>
    <protectedRange sqref="N27:N28" name="Range2"/>
    <protectedRange sqref="G2:G3" name="Range1"/>
    <protectedRange sqref="C8:D25" name="Range4"/>
  </protectedRanges>
  <dataConsolidate/>
  <pageMargins left="0.75" right="0.75" top="1" bottom="1" header="0.5" footer="0.5"/>
  <pageSetup paperSize="9"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D61"/>
  <sheetViews>
    <sheetView zoomScaleNormal="100" workbookViewId="0">
      <selection activeCell="K2" sqref="K2"/>
    </sheetView>
  </sheetViews>
  <sheetFormatPr defaultRowHeight="12.75"/>
  <cols>
    <col min="1" max="1" width="9.28515625" style="49" bestFit="1" customWidth="1"/>
    <col min="2" max="2" width="11.85546875" style="49" customWidth="1"/>
    <col min="3" max="3" width="10.28515625" style="49" customWidth="1"/>
    <col min="4" max="4" width="11.42578125" style="49" customWidth="1"/>
    <col min="5" max="5" width="9.28515625" style="49" bestFit="1" customWidth="1"/>
    <col min="6" max="6" width="6.7109375" style="49" customWidth="1"/>
    <col min="7" max="8" width="9.28515625" style="49" bestFit="1" customWidth="1"/>
    <col min="9" max="9" width="9.7109375" style="49" bestFit="1" customWidth="1"/>
    <col min="10" max="10" width="9.85546875" style="49" customWidth="1"/>
    <col min="11" max="11" width="9.7109375" style="49" bestFit="1" customWidth="1"/>
    <col min="12" max="12" width="9.140625" style="49" customWidth="1"/>
    <col min="13" max="13" width="9.7109375" style="49" bestFit="1" customWidth="1"/>
    <col min="14" max="14" width="10.140625" style="49" customWidth="1"/>
    <col min="15" max="15" width="9.28515625" style="49" bestFit="1" customWidth="1"/>
    <col min="16" max="16" width="10.28515625" style="49" customWidth="1"/>
    <col min="17" max="17" width="5.85546875" style="49" customWidth="1"/>
    <col min="18" max="16384" width="9.140625" style="49"/>
  </cols>
  <sheetData>
    <row r="1" spans="1:30">
      <c r="A1" s="45" t="s">
        <v>24</v>
      </c>
      <c r="B1" s="45" t="str">
        <f>Introduction!D9</f>
        <v>El Salvador</v>
      </c>
      <c r="C1" s="45"/>
      <c r="D1" s="45"/>
      <c r="E1" s="45"/>
      <c r="F1" s="45"/>
      <c r="G1" s="45"/>
      <c r="H1" s="45"/>
      <c r="I1" s="46"/>
      <c r="J1" s="45"/>
      <c r="K1" s="45"/>
      <c r="L1" s="45"/>
      <c r="M1" s="45"/>
      <c r="N1" s="47" t="s">
        <v>45</v>
      </c>
      <c r="O1" s="48"/>
      <c r="P1" s="48"/>
      <c r="Q1" s="45"/>
    </row>
    <row r="2" spans="1:30">
      <c r="A2" s="45"/>
      <c r="B2" s="45"/>
      <c r="C2" s="45"/>
      <c r="D2" s="45"/>
      <c r="E2" s="45"/>
      <c r="F2" s="45"/>
      <c r="G2" s="45"/>
      <c r="H2" s="45"/>
      <c r="I2" s="46"/>
      <c r="J2" s="45" t="s">
        <v>1</v>
      </c>
      <c r="K2" s="50">
        <v>45</v>
      </c>
      <c r="L2" s="51" t="s">
        <v>6</v>
      </c>
      <c r="M2" s="52">
        <f ca="1">INTERCEPT(INDIRECT(ADDRESS(ROW(I7)+K2/5,I6)):INDIRECT(ADDRESS(ROW(I7)+K3/5,I6)),INDIRECT(ADDRESS(ROW(K7)+K2/5,K6)):INDIRECT(ADDRESS(ROW(K7)+K3/5,K6)))</f>
        <v>1.6226217387163788E-2</v>
      </c>
      <c r="N2" s="48" t="s">
        <v>7</v>
      </c>
      <c r="O2" s="53">
        <f ca="1">1-M19/M10</f>
        <v>0.26589793980864007</v>
      </c>
      <c r="P2" s="53"/>
      <c r="Q2" s="45"/>
    </row>
    <row r="3" spans="1:30">
      <c r="A3" s="45" t="s">
        <v>33</v>
      </c>
      <c r="B3" s="45" t="str">
        <f>Introduction!D10</f>
        <v>Females</v>
      </c>
      <c r="C3" s="45"/>
      <c r="D3" s="45"/>
      <c r="E3" s="45"/>
      <c r="F3" s="45"/>
      <c r="G3" s="45"/>
      <c r="H3" s="45"/>
      <c r="I3" s="46"/>
      <c r="J3" s="45" t="s">
        <v>3</v>
      </c>
      <c r="K3" s="50">
        <v>75</v>
      </c>
      <c r="L3" s="51" t="s">
        <v>8</v>
      </c>
      <c r="M3" s="52">
        <f ca="1">SLOPE(INDIRECT(ADDRESS(ROW(I7)+K2/5,I6)):INDIRECT(ADDRESS(ROW(I7)+K3/5,I6)),INDIRECT(ADDRESS(ROW(K7)+K2/5,K6)):INDIRECT(ADDRESS(ROW(K7)+K3/5,K6)))</f>
        <v>0.97735331645713064</v>
      </c>
      <c r="N3" s="48" t="s">
        <v>9</v>
      </c>
      <c r="O3" s="53">
        <f ca="1">1-M17/M10</f>
        <v>0.16153382497353796</v>
      </c>
      <c r="P3" s="53"/>
      <c r="Q3" s="45"/>
    </row>
    <row r="4" spans="1:30">
      <c r="A4" s="45"/>
      <c r="B4" s="45"/>
      <c r="C4" s="45"/>
      <c r="D4" s="45"/>
      <c r="E4" s="45"/>
      <c r="F4" s="45"/>
      <c r="G4" s="45"/>
      <c r="H4" s="45"/>
      <c r="I4" s="46"/>
      <c r="J4" s="45"/>
      <c r="K4" s="45"/>
      <c r="L4" s="45"/>
      <c r="M4" s="45"/>
      <c r="N4" s="45"/>
      <c r="O4" s="45"/>
      <c r="P4" s="45"/>
      <c r="Q4" s="45"/>
    </row>
    <row r="5" spans="1:30" ht="42.75" customHeight="1">
      <c r="A5" s="54" t="s">
        <v>5</v>
      </c>
      <c r="B5" s="55" t="s">
        <v>69</v>
      </c>
      <c r="C5" s="55" t="s">
        <v>70</v>
      </c>
      <c r="D5" s="56" t="s">
        <v>71</v>
      </c>
      <c r="E5" s="56" t="s">
        <v>72</v>
      </c>
      <c r="F5" s="57" t="s">
        <v>4</v>
      </c>
      <c r="G5" s="58" t="s">
        <v>73</v>
      </c>
      <c r="H5" s="58" t="s">
        <v>74</v>
      </c>
      <c r="I5" s="59" t="s">
        <v>75</v>
      </c>
      <c r="J5" s="56" t="str">
        <f>'Model data'!B23&amp;" Cdn. ls(x)"</f>
        <v>Princeton West Cdn. ls(x)</v>
      </c>
      <c r="K5" s="60" t="s">
        <v>76</v>
      </c>
      <c r="L5" s="60" t="s">
        <v>77</v>
      </c>
      <c r="M5" s="61" t="s">
        <v>78</v>
      </c>
      <c r="N5" s="62" t="s">
        <v>79</v>
      </c>
      <c r="O5" s="63" t="s">
        <v>80</v>
      </c>
      <c r="P5" s="64" t="s">
        <v>81</v>
      </c>
      <c r="Q5" s="58" t="s">
        <v>5</v>
      </c>
    </row>
    <row r="6" spans="1:30">
      <c r="A6" s="65">
        <f>COLUMN()</f>
        <v>1</v>
      </c>
      <c r="B6" s="65">
        <f>COLUMN()</f>
        <v>2</v>
      </c>
      <c r="C6" s="65">
        <f>COLUMN()</f>
        <v>3</v>
      </c>
      <c r="D6" s="65">
        <f>COLUMN()</f>
        <v>4</v>
      </c>
      <c r="E6" s="65">
        <f>COLUMN()</f>
        <v>5</v>
      </c>
      <c r="F6" s="65">
        <f>COLUMN()</f>
        <v>6</v>
      </c>
      <c r="G6" s="65">
        <f>COLUMN()</f>
        <v>7</v>
      </c>
      <c r="H6" s="65">
        <f>COLUMN()</f>
        <v>8</v>
      </c>
      <c r="I6" s="65">
        <f>COLUMN()</f>
        <v>9</v>
      </c>
      <c r="J6" s="65">
        <f>COLUMN()</f>
        <v>10</v>
      </c>
      <c r="K6" s="65">
        <f>COLUMN()</f>
        <v>11</v>
      </c>
      <c r="L6" s="65">
        <f>COLUMN()</f>
        <v>12</v>
      </c>
      <c r="M6" s="65">
        <f>COLUMN()</f>
        <v>13</v>
      </c>
      <c r="N6" s="65">
        <f>COLUMN()</f>
        <v>14</v>
      </c>
      <c r="O6" s="65">
        <f>COLUMN()</f>
        <v>15</v>
      </c>
      <c r="P6" s="65">
        <f>COLUMN()</f>
        <v>16</v>
      </c>
      <c r="Q6" s="65">
        <f>COLUMN()</f>
        <v>17</v>
      </c>
    </row>
    <row r="7" spans="1:30">
      <c r="A7" s="66" t="s">
        <v>82</v>
      </c>
      <c r="B7" s="67"/>
      <c r="C7" s="67"/>
      <c r="D7" s="67"/>
      <c r="E7" s="68"/>
      <c r="F7" s="45">
        <v>0</v>
      </c>
      <c r="G7" s="45"/>
      <c r="H7" s="45"/>
      <c r="I7" s="45"/>
      <c r="J7" s="45"/>
      <c r="K7" s="45"/>
      <c r="L7" s="45"/>
      <c r="M7" s="45"/>
      <c r="N7" s="45"/>
      <c r="O7" s="45"/>
      <c r="P7" s="45"/>
      <c r="Q7" s="45">
        <v>0</v>
      </c>
      <c r="AC7" s="45"/>
      <c r="AD7" s="45"/>
    </row>
    <row r="8" spans="1:30">
      <c r="A8" s="66" t="s">
        <v>83</v>
      </c>
      <c r="B8" s="67">
        <f>Method!C9*EXP(-Method!J$2*(Method!E$2-Method!C$2))</f>
        <v>191170.6896345008</v>
      </c>
      <c r="C8" s="67">
        <f ca="1">Method!D9/Method!M$23</f>
        <v>695.67726648915914</v>
      </c>
      <c r="D8" s="67">
        <f>Method!E$3*'Life expectancies'!B8</f>
        <v>191170.6896345008</v>
      </c>
      <c r="E8" s="68">
        <f t="shared" ref="E8:E20" ca="1" si="0">C8/D8</f>
        <v>3.6390372803447243E-3</v>
      </c>
      <c r="F8" s="45">
        <v>5</v>
      </c>
      <c r="G8" s="69">
        <f ca="1">5*E8/(1+2.5*E8)</f>
        <v>1.8031146367130272E-2</v>
      </c>
      <c r="H8" s="45">
        <v>1</v>
      </c>
      <c r="I8" s="45"/>
      <c r="J8" s="70">
        <f>'Model data'!D26</f>
        <v>1</v>
      </c>
      <c r="K8" s="45"/>
      <c r="L8" s="45"/>
      <c r="M8" s="71">
        <v>1</v>
      </c>
      <c r="N8" s="72">
        <f t="shared" ref="N8:N24" ca="1" si="1">N9+2.5*(M9+M8)</f>
        <v>61.253843847646628</v>
      </c>
      <c r="O8" s="73">
        <f t="shared" ref="O8:O24" ca="1" si="2">N8/M8</f>
        <v>61.253843847646628</v>
      </c>
      <c r="P8" s="68">
        <f t="shared" ref="P8:P24" ca="1" si="3">(M8-M9)/(2.5*(M8+M9))</f>
        <v>2.5223355717386769E-3</v>
      </c>
      <c r="Q8" s="45">
        <v>5</v>
      </c>
    </row>
    <row r="9" spans="1:30">
      <c r="A9" s="66" t="s">
        <v>84</v>
      </c>
      <c r="B9" s="67">
        <f>Method!C10*EXP(-Method!J$2*(Method!E$2-Method!C$2))</f>
        <v>150274.30736127077</v>
      </c>
      <c r="C9" s="67">
        <f ca="1">Method!D10/Method!M$23</f>
        <v>244.05727053881978</v>
      </c>
      <c r="D9" s="67">
        <f>Method!E$3*'Life expectancies'!B9</f>
        <v>150274.30736127077</v>
      </c>
      <c r="E9" s="68">
        <f t="shared" ca="1" si="0"/>
        <v>1.6240784923539039E-3</v>
      </c>
      <c r="F9" s="45">
        <v>10</v>
      </c>
      <c r="G9" s="69">
        <f t="shared" ref="G9:G21" ca="1" si="4">5*E9/(1+2.5*E9)</f>
        <v>8.0875553998181055E-3</v>
      </c>
      <c r="H9" s="69">
        <f t="shared" ref="H9:H25" ca="1" si="5">H8*(1-G8)</f>
        <v>0.98196885363286968</v>
      </c>
      <c r="I9" s="52">
        <f t="shared" ref="I9:I25" ca="1" si="6">IF(H9=0,NA(),0.5*LN((1-H9)/H9))</f>
        <v>-1.9987294871424932</v>
      </c>
      <c r="J9" s="70">
        <f>'Model data'!D27</f>
        <v>0.98902604435533126</v>
      </c>
      <c r="K9" s="52">
        <f>0.5*LN((J$8-J9)/J9)</f>
        <v>-2.2505979342666698</v>
      </c>
      <c r="L9" s="52">
        <f t="shared" ref="L9:L27" ca="1" si="7">M$2+M$3*K9</f>
        <v>-2.183403137679933</v>
      </c>
      <c r="M9" s="74">
        <f ca="1">(1/(1+EXP(2*L9)))</f>
        <v>0.98746735100721317</v>
      </c>
      <c r="N9" s="72">
        <f t="shared" ca="1" si="1"/>
        <v>56.285175470128593</v>
      </c>
      <c r="O9" s="73">
        <f t="shared" ca="1" si="2"/>
        <v>56.999530579636797</v>
      </c>
      <c r="P9" s="68">
        <f t="shared" ca="1" si="3"/>
        <v>1.9202712549441095E-3</v>
      </c>
      <c r="Q9" s="45">
        <v>10</v>
      </c>
    </row>
    <row r="10" spans="1:30">
      <c r="A10" s="66" t="s">
        <v>85</v>
      </c>
      <c r="B10" s="67">
        <f>Method!C11*EXP(-Method!J$2*(Method!E$2-Method!C$2))</f>
        <v>125655.68211727652</v>
      </c>
      <c r="C10" s="67">
        <f ca="1">Method!D11/Method!M$23</f>
        <v>303.36090637068253</v>
      </c>
      <c r="D10" s="67">
        <f>Method!E$3*'Life expectancies'!B10</f>
        <v>125655.68211727652</v>
      </c>
      <c r="E10" s="68">
        <f t="shared" ca="1" si="0"/>
        <v>2.4142235453192703E-3</v>
      </c>
      <c r="F10" s="45">
        <v>15</v>
      </c>
      <c r="G10" s="69">
        <f ca="1">5*E10/(1+2.5*E10)</f>
        <v>1.1998698873263779E-2</v>
      </c>
      <c r="H10" s="69">
        <f t="shared" ca="1" si="5"/>
        <v>0.97402712612821796</v>
      </c>
      <c r="I10" s="52">
        <f t="shared" ca="1" si="6"/>
        <v>-1.8121932363603905</v>
      </c>
      <c r="J10" s="70">
        <f>'Model data'!D28</f>
        <v>0.98048951137818818</v>
      </c>
      <c r="K10" s="52">
        <f t="shared" ref="K10:K27" si="8">0.5*LN((J$8-J10)/J10)</f>
        <v>-1.9585498746774208</v>
      </c>
      <c r="L10" s="52">
        <f t="shared" ca="1" si="7"/>
        <v>-1.8979689980755112</v>
      </c>
      <c r="M10" s="74">
        <f t="shared" ref="M10:M27" ca="1" si="9">(1/(1+EXP(2*L10)))</f>
        <v>0.97803162305343616</v>
      </c>
      <c r="N10" s="72">
        <f t="shared" ca="1" si="1"/>
        <v>51.371428034976972</v>
      </c>
      <c r="O10" s="73">
        <f t="shared" ca="1" si="2"/>
        <v>52.525324155260186</v>
      </c>
      <c r="P10" s="68">
        <f t="shared" ca="1" si="3"/>
        <v>2.785475998546665E-3</v>
      </c>
      <c r="Q10" s="45">
        <v>15</v>
      </c>
    </row>
    <row r="11" spans="1:30">
      <c r="A11" s="66" t="s">
        <v>86</v>
      </c>
      <c r="B11" s="67">
        <f>Method!C12*EXP(-Method!J$2*(Method!E$2-Method!C$2))</f>
        <v>114048.81128830544</v>
      </c>
      <c r="C11" s="67">
        <f ca="1">Method!D12/Method!M$23</f>
        <v>331.87226975138577</v>
      </c>
      <c r="D11" s="67">
        <f>Method!E$3*'Life expectancies'!B11</f>
        <v>114048.81128830544</v>
      </c>
      <c r="E11" s="68">
        <f t="shared" ca="1" si="0"/>
        <v>2.9099143253009593E-3</v>
      </c>
      <c r="F11" s="45">
        <v>20</v>
      </c>
      <c r="G11" s="69">
        <f t="shared" ca="1" si="4"/>
        <v>1.4444491047949521E-2</v>
      </c>
      <c r="H11" s="69">
        <f t="shared" ca="1" si="5"/>
        <v>0.962340067947415</v>
      </c>
      <c r="I11" s="52">
        <f t="shared" ca="1" si="6"/>
        <v>-1.6203855850947102</v>
      </c>
      <c r="J11" s="70">
        <f>'Model data'!D29</f>
        <v>0.96807521267304064</v>
      </c>
      <c r="K11" s="52">
        <f t="shared" si="8"/>
        <v>-1.7059635215249491</v>
      </c>
      <c r="L11" s="52">
        <f t="shared" ca="1" si="7"/>
        <v>-1.6511028881301306</v>
      </c>
      <c r="M11" s="74">
        <f t="shared" ca="1" si="9"/>
        <v>0.96450440435181239</v>
      </c>
      <c r="N11" s="72">
        <f t="shared" ca="1" si="1"/>
        <v>46.515087966463852</v>
      </c>
      <c r="O11" s="73">
        <f t="shared" ca="1" si="2"/>
        <v>48.226931630990272</v>
      </c>
      <c r="P11" s="68">
        <f t="shared" ca="1" si="3"/>
        <v>3.6356716387741543E-3</v>
      </c>
      <c r="Q11" s="45">
        <v>20</v>
      </c>
    </row>
    <row r="12" spans="1:30">
      <c r="A12" s="66" t="s">
        <v>87</v>
      </c>
      <c r="B12" s="67">
        <f>Method!C13*EXP(-Method!J$2*(Method!E$2-Method!C$2))</f>
        <v>92114.337731253341</v>
      </c>
      <c r="C12" s="67">
        <f ca="1">Method!D13/Method!M$23</f>
        <v>309.06317904682317</v>
      </c>
      <c r="D12" s="67">
        <f>Method!E$3*'Life expectancies'!B12</f>
        <v>92114.337731253341</v>
      </c>
      <c r="E12" s="68">
        <f t="shared" ca="1" si="0"/>
        <v>3.3552125180395403E-3</v>
      </c>
      <c r="F12" s="45">
        <v>25</v>
      </c>
      <c r="G12" s="69">
        <f t="shared" ca="1" si="4"/>
        <v>1.6636514981888242E-2</v>
      </c>
      <c r="H12" s="69">
        <f t="shared" ca="1" si="5"/>
        <v>0.94843955545086545</v>
      </c>
      <c r="I12" s="52">
        <f t="shared" ca="1" si="6"/>
        <v>-1.4560316304358509</v>
      </c>
      <c r="J12" s="70">
        <f>'Model data'!D30</f>
        <v>0.95192172280111764</v>
      </c>
      <c r="K12" s="52">
        <f t="shared" si="8"/>
        <v>-1.4928261749237073</v>
      </c>
      <c r="L12" s="52">
        <f t="shared" ca="1" si="7"/>
        <v>-1.4427923955685342</v>
      </c>
      <c r="M12" s="74">
        <f t="shared" ca="1" si="9"/>
        <v>0.94712922393657484</v>
      </c>
      <c r="N12" s="72">
        <f t="shared" ca="1" si="1"/>
        <v>41.736003895742883</v>
      </c>
      <c r="O12" s="73">
        <f t="shared" ca="1" si="2"/>
        <v>44.065796768760421</v>
      </c>
      <c r="P12" s="68">
        <f t="shared" ca="1" si="3"/>
        <v>4.1301521211149642E-3</v>
      </c>
      <c r="Q12" s="45">
        <v>25</v>
      </c>
    </row>
    <row r="13" spans="1:30">
      <c r="A13" s="66" t="s">
        <v>88</v>
      </c>
      <c r="B13" s="67">
        <f>Method!C14*EXP(-Method!J$2*(Method!E$2-Method!C$2))</f>
        <v>78093.639739408798</v>
      </c>
      <c r="C13" s="67">
        <f ca="1">Method!D14/Method!M$23</f>
        <v>359.24317859686084</v>
      </c>
      <c r="D13" s="67">
        <f>Method!E$3*'Life expectancies'!B13</f>
        <v>78093.639739408798</v>
      </c>
      <c r="E13" s="68">
        <f t="shared" ca="1" si="0"/>
        <v>4.6001592421050152E-3</v>
      </c>
      <c r="F13" s="45">
        <v>30</v>
      </c>
      <c r="G13" s="69">
        <f t="shared" ca="1" si="4"/>
        <v>2.2739285376071082E-2</v>
      </c>
      <c r="H13" s="69">
        <f t="shared" ca="1" si="5"/>
        <v>0.93266082657719174</v>
      </c>
      <c r="I13" s="52">
        <f t="shared" ca="1" si="6"/>
        <v>-1.314149732926158</v>
      </c>
      <c r="J13" s="70">
        <f>'Model data'!D31</f>
        <v>0.93372012793563808</v>
      </c>
      <c r="K13" s="52">
        <f t="shared" si="8"/>
        <v>-1.3226452410536844</v>
      </c>
      <c r="L13" s="52">
        <f t="shared" ca="1" si="7"/>
        <v>-1.2764654954528956</v>
      </c>
      <c r="M13" s="74">
        <f t="shared" ca="1" si="9"/>
        <v>0.92777017461704137</v>
      </c>
      <c r="N13" s="72">
        <f t="shared" ca="1" si="1"/>
        <v>37.048755399358839</v>
      </c>
      <c r="O13" s="73">
        <f t="shared" ca="1" si="2"/>
        <v>39.933117503644233</v>
      </c>
      <c r="P13" s="68">
        <f t="shared" ca="1" si="3"/>
        <v>4.7161060695521725E-3</v>
      </c>
      <c r="Q13" s="45">
        <v>30</v>
      </c>
    </row>
    <row r="14" spans="1:30">
      <c r="A14" s="66" t="s">
        <v>89</v>
      </c>
      <c r="B14" s="67">
        <f>Method!C15*EXP(-Method!J$2*(Method!E$2-Method!C$2))</f>
        <v>73295.128206219451</v>
      </c>
      <c r="C14" s="67">
        <f ca="1">Method!D15/Method!M$23</f>
        <v>398.0186327946173</v>
      </c>
      <c r="D14" s="67">
        <f>Method!E$3*'Life expectancies'!B14</f>
        <v>73295.128206219451</v>
      </c>
      <c r="E14" s="68">
        <f t="shared" ca="1" si="0"/>
        <v>5.4303559122616208E-3</v>
      </c>
      <c r="F14" s="45">
        <v>35</v>
      </c>
      <c r="G14" s="69">
        <f t="shared" ca="1" si="4"/>
        <v>2.6788107170923298E-2</v>
      </c>
      <c r="H14" s="69">
        <f t="shared" ca="1" si="5"/>
        <v>0.91145278588257062</v>
      </c>
      <c r="I14" s="52">
        <f t="shared" ca="1" si="6"/>
        <v>-1.1657519459519468</v>
      </c>
      <c r="J14" s="70">
        <f>'Model data'!D32</f>
        <v>0.91319033576822883</v>
      </c>
      <c r="K14" s="52">
        <f t="shared" si="8"/>
        <v>-1.1766131886173843</v>
      </c>
      <c r="L14" s="52">
        <f t="shared" ca="1" si="7"/>
        <v>-1.1337405846952362</v>
      </c>
      <c r="M14" s="74">
        <f t="shared" ca="1" si="9"/>
        <v>0.90614779544289026</v>
      </c>
      <c r="N14" s="72">
        <f t="shared" ca="1" si="1"/>
        <v>32.46396047420901</v>
      </c>
      <c r="O14" s="73">
        <f t="shared" ca="1" si="2"/>
        <v>35.826341616095718</v>
      </c>
      <c r="P14" s="68">
        <f t="shared" ca="1" si="3"/>
        <v>5.4471001622209744E-3</v>
      </c>
      <c r="Q14" s="45">
        <v>35</v>
      </c>
    </row>
    <row r="15" spans="1:30">
      <c r="A15" s="66" t="s">
        <v>90</v>
      </c>
      <c r="B15" s="67">
        <f>Method!C16*EXP(-Method!J$2*(Method!E$2-Method!C$2))</f>
        <v>57222.375648768073</v>
      </c>
      <c r="C15" s="67">
        <f ca="1">Method!D16/Method!M$23</f>
        <v>385.47363290710786</v>
      </c>
      <c r="D15" s="67">
        <f>Method!E$3*'Life expectancies'!B15</f>
        <v>57222.375648768073</v>
      </c>
      <c r="E15" s="68">
        <f t="shared" ca="1" si="0"/>
        <v>6.7364143577881433E-3</v>
      </c>
      <c r="F15" s="45">
        <v>40</v>
      </c>
      <c r="G15" s="69">
        <f t="shared" ca="1" si="4"/>
        <v>3.3124225518015291E-2</v>
      </c>
      <c r="H15" s="69">
        <f t="shared" ca="1" si="5"/>
        <v>0.88703669097311177</v>
      </c>
      <c r="I15" s="52">
        <f t="shared" ca="1" si="6"/>
        <v>-1.0304116397954042</v>
      </c>
      <c r="J15" s="70">
        <f>'Model data'!D33</f>
        <v>0.88986435481285608</v>
      </c>
      <c r="K15" s="52">
        <f t="shared" si="8"/>
        <v>-1.0446781483104151</v>
      </c>
      <c r="L15" s="52">
        <f t="shared" ca="1" si="7"/>
        <v>-1.0047934354943147</v>
      </c>
      <c r="M15" s="74">
        <f t="shared" ca="1" si="9"/>
        <v>0.88179996904788938</v>
      </c>
      <c r="N15" s="72">
        <f t="shared" ca="1" si="1"/>
        <v>27.994091062982061</v>
      </c>
      <c r="O15" s="73">
        <f t="shared" ca="1" si="2"/>
        <v>31.746532145162437</v>
      </c>
      <c r="P15" s="68">
        <f t="shared" ca="1" si="3"/>
        <v>6.451259180925214E-3</v>
      </c>
      <c r="Q15" s="45">
        <v>40</v>
      </c>
    </row>
    <row r="16" spans="1:30">
      <c r="A16" s="66" t="s">
        <v>91</v>
      </c>
      <c r="B16" s="67">
        <f>Method!C17*EXP(-Method!J$2*(Method!E$2-Method!C$2))</f>
        <v>46432.5079352908</v>
      </c>
      <c r="C16" s="67">
        <f ca="1">Method!D17/Method!M$23</f>
        <v>407.14226907644235</v>
      </c>
      <c r="D16" s="67">
        <f>Method!E$3*'Life expectancies'!B16</f>
        <v>46432.5079352908</v>
      </c>
      <c r="E16" s="68">
        <f t="shared" ca="1" si="0"/>
        <v>8.7684746566746592E-3</v>
      </c>
      <c r="F16" s="45">
        <v>45</v>
      </c>
      <c r="G16" s="69">
        <f t="shared" ca="1" si="4"/>
        <v>4.2901912453201366E-2</v>
      </c>
      <c r="H16" s="69">
        <f t="shared" ca="1" si="5"/>
        <v>0.85765428757856432</v>
      </c>
      <c r="I16" s="52">
        <f t="shared" ca="1" si="6"/>
        <v>-0.89797119838294659</v>
      </c>
      <c r="J16" s="70">
        <f>'Model data'!D34</f>
        <v>0.86281632898106653</v>
      </c>
      <c r="K16" s="52">
        <f t="shared" si="8"/>
        <v>-0.91944057379661248</v>
      </c>
      <c r="L16" s="52">
        <f t="shared" ca="1" si="7"/>
        <v>-0.88239207669820263</v>
      </c>
      <c r="M16" s="74">
        <f t="shared" ca="1" si="9"/>
        <v>0.85380782968277291</v>
      </c>
      <c r="N16" s="72">
        <f t="shared" ca="1" si="1"/>
        <v>23.655071566155407</v>
      </c>
      <c r="O16" s="73">
        <f t="shared" ca="1" si="2"/>
        <v>27.705381402913936</v>
      </c>
      <c r="P16" s="68">
        <f t="shared" ca="1" si="3"/>
        <v>8.0679414876221964E-3</v>
      </c>
      <c r="Q16" s="45">
        <v>45</v>
      </c>
    </row>
    <row r="17" spans="1:27">
      <c r="A17" s="66" t="s">
        <v>92</v>
      </c>
      <c r="B17" s="67">
        <f>Method!C18*EXP(-Method!J$2*(Method!E$2-Method!C$2))</f>
        <v>38806.140600133956</v>
      </c>
      <c r="C17" s="67">
        <f ca="1">Method!D18/Method!M$23</f>
        <v>439.07499606282994</v>
      </c>
      <c r="D17" s="67">
        <f>Method!E$3*'Life expectancies'!B17</f>
        <v>38806.140600133956</v>
      </c>
      <c r="E17" s="68">
        <f t="shared" ca="1" si="0"/>
        <v>1.1314575200537058E-2</v>
      </c>
      <c r="F17" s="45">
        <v>50</v>
      </c>
      <c r="G17" s="69">
        <f t="shared" ca="1" si="4"/>
        <v>5.501665091746686E-2</v>
      </c>
      <c r="H17" s="69">
        <f t="shared" ca="1" si="5"/>
        <v>0.82085927841775597</v>
      </c>
      <c r="I17" s="52">
        <f t="shared" ca="1" si="6"/>
        <v>-0.76109002051452157</v>
      </c>
      <c r="J17" s="70">
        <f>'Model data'!D35</f>
        <v>0.82991285304540474</v>
      </c>
      <c r="K17" s="52">
        <f t="shared" si="8"/>
        <v>-0.7925048820508992</v>
      </c>
      <c r="L17" s="52">
        <f t="shared" ca="1" si="7"/>
        <v>-0.75833105739374973</v>
      </c>
      <c r="M17" s="74">
        <f t="shared" ca="1" si="9"/>
        <v>0.8200464340365371</v>
      </c>
      <c r="N17" s="72">
        <f t="shared" ca="1" si="1"/>
        <v>19.470435906857134</v>
      </c>
      <c r="O17" s="73">
        <f t="shared" ca="1" si="2"/>
        <v>23.743089535817223</v>
      </c>
      <c r="P17" s="68">
        <f t="shared" ca="1" si="3"/>
        <v>1.1109456142744587E-2</v>
      </c>
      <c r="Q17" s="45">
        <v>50</v>
      </c>
    </row>
    <row r="18" spans="1:27">
      <c r="A18" s="66" t="s">
        <v>93</v>
      </c>
      <c r="B18" s="67">
        <f>Method!C19*EXP(-Method!J$2*(Method!E$2-Method!C$2))</f>
        <v>26282.779191420745</v>
      </c>
      <c r="C18" s="67">
        <f ca="1">Method!D19/Method!M$23</f>
        <v>441.35590513328623</v>
      </c>
      <c r="D18" s="67">
        <f>Method!E$3*'Life expectancies'!B18</f>
        <v>26282.779191420745</v>
      </c>
      <c r="E18" s="68">
        <f t="shared" ca="1" si="0"/>
        <v>1.6792588862800099E-2</v>
      </c>
      <c r="F18" s="45">
        <v>55</v>
      </c>
      <c r="G18" s="69">
        <f t="shared" ca="1" si="4"/>
        <v>8.058007417366958E-2</v>
      </c>
      <c r="H18" s="69">
        <f t="shared" ca="1" si="5"/>
        <v>0.77569835004468257</v>
      </c>
      <c r="I18" s="52">
        <f t="shared" ca="1" si="6"/>
        <v>-0.62038596146096137</v>
      </c>
      <c r="J18" s="70">
        <f>'Model data'!D36</f>
        <v>0.78632088701428393</v>
      </c>
      <c r="K18" s="52">
        <f t="shared" si="8"/>
        <v>-0.65144477232807607</v>
      </c>
      <c r="L18" s="52">
        <f t="shared" ca="1" si="7"/>
        <v>-0.62046549133634177</v>
      </c>
      <c r="M18" s="74">
        <f t="shared" ca="1" si="9"/>
        <v>0.77572602370387012</v>
      </c>
      <c r="N18" s="72">
        <f t="shared" ca="1" si="1"/>
        <v>15.481004762506117</v>
      </c>
      <c r="O18" s="73">
        <f t="shared" ca="1" si="2"/>
        <v>19.956794395769712</v>
      </c>
      <c r="P18" s="68">
        <f t="shared" ca="1" si="3"/>
        <v>1.5465208159939681E-2</v>
      </c>
      <c r="Q18" s="45">
        <v>55</v>
      </c>
    </row>
    <row r="19" spans="1:27">
      <c r="A19" s="66" t="s">
        <v>94</v>
      </c>
      <c r="B19" s="67">
        <f>Method!C20*EXP(-Method!J$2*(Method!E$2-Method!C$2))</f>
        <v>29417.136777183587</v>
      </c>
      <c r="C19" s="67">
        <f ca="1">Method!D20/Method!M$23</f>
        <v>737.87408429259995</v>
      </c>
      <c r="D19" s="67">
        <f>Method!E$3*'Life expectancies'!B19</f>
        <v>29417.136777183587</v>
      </c>
      <c r="E19" s="68">
        <f t="shared" ca="1" si="0"/>
        <v>2.5083137420257268E-2</v>
      </c>
      <c r="F19" s="45">
        <v>60</v>
      </c>
      <c r="G19" s="69">
        <f t="shared" ca="1" si="4"/>
        <v>0.11801520790724236</v>
      </c>
      <c r="H19" s="69">
        <f t="shared" ca="1" si="5"/>
        <v>0.71319251946168893</v>
      </c>
      <c r="I19" s="52">
        <f t="shared" ca="1" si="6"/>
        <v>-0.45547010304132213</v>
      </c>
      <c r="J19" s="70">
        <f>'Model data'!D37</f>
        <v>0.72894882319169485</v>
      </c>
      <c r="K19" s="52">
        <f t="shared" si="8"/>
        <v>-0.49464794039967175</v>
      </c>
      <c r="L19" s="52">
        <f t="shared" ca="1" si="7"/>
        <v>-0.46721958764114446</v>
      </c>
      <c r="M19" s="74">
        <f t="shared" ca="1" si="9"/>
        <v>0.71797502941582703</v>
      </c>
      <c r="N19" s="72">
        <f t="shared" ca="1" si="1"/>
        <v>11.746752129706874</v>
      </c>
      <c r="O19" s="73">
        <f t="shared" ca="1" si="2"/>
        <v>16.360948011331949</v>
      </c>
      <c r="P19" s="68">
        <f t="shared" ca="1" si="3"/>
        <v>2.3468859648944431E-2</v>
      </c>
      <c r="Q19" s="45">
        <v>60</v>
      </c>
    </row>
    <row r="20" spans="1:27">
      <c r="A20" s="108" t="str">
        <f>IF(D20=0,"", IF(D21=0, "65+", "   65-69"))</f>
        <v xml:space="preserve">   65-69</v>
      </c>
      <c r="B20" s="67">
        <f>Method!C21*EXP(-Method!J$2*(Method!E$2-Method!C$2))</f>
        <v>15037.680959716297</v>
      </c>
      <c r="C20" s="67">
        <f ca="1">Method!D21/Method!M$23</f>
        <v>512.06408631743022</v>
      </c>
      <c r="D20" s="67">
        <f>Method!E$3*'Life expectancies'!B20</f>
        <v>15037.680959716297</v>
      </c>
      <c r="E20" s="68">
        <f t="shared" ca="1" si="0"/>
        <v>3.4052064789057132E-2</v>
      </c>
      <c r="F20" s="45">
        <v>65</v>
      </c>
      <c r="G20" s="69">
        <f t="shared" ca="1" si="4"/>
        <v>0.1569031346762787</v>
      </c>
      <c r="H20" s="69">
        <f t="shared" ca="1" si="5"/>
        <v>0.62902495599952768</v>
      </c>
      <c r="I20" s="52">
        <f t="shared" ca="1" si="6"/>
        <v>-0.26401806904423758</v>
      </c>
      <c r="J20" s="70">
        <f>'Model data'!D38</f>
        <v>0.64902933015548614</v>
      </c>
      <c r="K20" s="52">
        <f t="shared" si="8"/>
        <v>-0.30738762512432866</v>
      </c>
      <c r="L20" s="52">
        <f t="shared" ca="1" si="7"/>
        <v>-0.28420009746598002</v>
      </c>
      <c r="M20" s="74">
        <f t="shared" ca="1" si="9"/>
        <v>0.63839394659063187</v>
      </c>
      <c r="N20" s="72">
        <f t="shared" ca="1" si="1"/>
        <v>8.3558296896907258</v>
      </c>
      <c r="O20" s="73">
        <f t="shared" ca="1" si="2"/>
        <v>13.088829764623185</v>
      </c>
      <c r="P20" s="68">
        <f t="shared" ca="1" si="3"/>
        <v>3.5740337210525941E-2</v>
      </c>
      <c r="Q20" s="45">
        <v>65</v>
      </c>
    </row>
    <row r="21" spans="1:27">
      <c r="A21" s="108" t="str">
        <f>IF(D21=0,"", IF(D22=0," 70+", "   70-74"))</f>
        <v xml:space="preserve">   70-74</v>
      </c>
      <c r="B21" s="67">
        <f>Method!C22*EXP(-Method!J$2*(Method!E$2-Method!C$2))</f>
        <v>11260.172089923892</v>
      </c>
      <c r="C21" s="67">
        <f ca="1">Method!D22/Method!M$23</f>
        <v>574.78908575497735</v>
      </c>
      <c r="D21" s="67">
        <f>Method!E$3*'Life expectancies'!B21</f>
        <v>11260.172089923892</v>
      </c>
      <c r="E21" s="109">
        <f t="shared" ref="E21:E23" ca="1" si="10">IF(D21&gt;0,C21/D21,NA())</f>
        <v>5.1046207923351766E-2</v>
      </c>
      <c r="F21" s="45">
        <v>70</v>
      </c>
      <c r="G21" s="69">
        <f t="shared" ca="1" si="4"/>
        <v>0.22634580238850505</v>
      </c>
      <c r="H21" s="69">
        <f t="shared" ca="1" si="5"/>
        <v>0.53032896861359347</v>
      </c>
      <c r="I21" s="52">
        <f t="shared" ca="1" si="6"/>
        <v>-6.073249653783061E-2</v>
      </c>
      <c r="J21" s="70">
        <f>'Model data'!D39</f>
        <v>0.54269834745029266</v>
      </c>
      <c r="K21" s="52">
        <f t="shared" si="8"/>
        <v>-8.560519582249751E-2</v>
      </c>
      <c r="L21" s="52">
        <f t="shared" ca="1" si="7"/>
        <v>-6.7440304655916258E-2</v>
      </c>
      <c r="M21" s="74">
        <f t="shared" ca="1" si="9"/>
        <v>0.53366912322279192</v>
      </c>
      <c r="N21" s="72">
        <f t="shared" ca="1" si="1"/>
        <v>5.4256720151571667</v>
      </c>
      <c r="O21" s="73">
        <f t="shared" ca="1" si="2"/>
        <v>10.166733991263911</v>
      </c>
      <c r="P21" s="68">
        <f t="shared" ca="1" si="3"/>
        <v>5.7037969535964579E-2</v>
      </c>
      <c r="Q21" s="45">
        <v>70</v>
      </c>
    </row>
    <row r="22" spans="1:27">
      <c r="A22" s="108" t="str">
        <f>IF(D22=0,"", IF(D23=0," 75+", "   75-79"))</f>
        <v xml:space="preserve"> 75+</v>
      </c>
      <c r="B22" s="67">
        <f>Method!C23*EXP(-Method!J$2*(Method!E$2-Method!C$2))</f>
        <v>16272.732409829325</v>
      </c>
      <c r="C22" s="67">
        <f ca="1">Method!D23/Method!M$23</f>
        <v>1551.0181679102564</v>
      </c>
      <c r="D22" s="67">
        <f>Method!E$3*'Life expectancies'!B22</f>
        <v>16272.732409829325</v>
      </c>
      <c r="E22" s="109">
        <f t="shared" ca="1" si="10"/>
        <v>9.5313935536319935E-2</v>
      </c>
      <c r="F22" s="45">
        <v>75</v>
      </c>
      <c r="G22" s="69" t="e">
        <f ca="1">IF(C23=0,NA(),5*E22/(1+2.5*E22))</f>
        <v>#N/A</v>
      </c>
      <c r="H22" s="69">
        <f t="shared" ca="1" si="5"/>
        <v>0.41029123268288137</v>
      </c>
      <c r="I22" s="52">
        <f t="shared" ca="1" si="6"/>
        <v>0.1813807845802235</v>
      </c>
      <c r="J22" s="70">
        <f>'Model data'!D40</f>
        <v>0.40620675480907309</v>
      </c>
      <c r="K22" s="52">
        <f t="shared" si="8"/>
        <v>0.18983445421266135</v>
      </c>
      <c r="L22" s="52">
        <f t="shared" ca="1" si="7"/>
        <v>0.20176155078973768</v>
      </c>
      <c r="M22" s="74">
        <f t="shared" ca="1" si="9"/>
        <v>0.40046617195127293</v>
      </c>
      <c r="N22" s="72">
        <f t="shared" ca="1" si="1"/>
        <v>3.0903337772220043</v>
      </c>
      <c r="O22" s="73">
        <f t="shared" ca="1" si="2"/>
        <v>7.7168410059814576</v>
      </c>
      <c r="P22" s="68">
        <f t="shared" ca="1" si="3"/>
        <v>9.0272564773907993E-2</v>
      </c>
      <c r="Q22" s="45">
        <v>75</v>
      </c>
    </row>
    <row r="23" spans="1:27">
      <c r="A23" s="108" t="str">
        <f>IF(D23=0,"", IF(D24=0," 80+", "   80-84"))</f>
        <v/>
      </c>
      <c r="B23" s="67">
        <f>Method!C24*EXP(-Method!J$2*(Method!E$2-Method!C$2))</f>
        <v>0</v>
      </c>
      <c r="C23" s="67">
        <f ca="1">Method!D24/Method!M$23</f>
        <v>0</v>
      </c>
      <c r="D23" s="67">
        <f>Method!E$3*'Life expectancies'!B23</f>
        <v>0</v>
      </c>
      <c r="E23" s="109" t="e">
        <f t="shared" si="10"/>
        <v>#N/A</v>
      </c>
      <c r="F23" s="45">
        <v>80</v>
      </c>
      <c r="G23" s="69" t="e">
        <f ca="1">IF(C24=0,NA(),5*E23/(1+2.5*E23))</f>
        <v>#N/A</v>
      </c>
      <c r="H23" s="69" t="e">
        <f t="shared" ca="1" si="5"/>
        <v>#N/A</v>
      </c>
      <c r="I23" s="52" t="e">
        <f t="shared" ca="1" si="6"/>
        <v>#N/A</v>
      </c>
      <c r="J23" s="70">
        <f>'Model data'!D41</f>
        <v>0.25452962057942813</v>
      </c>
      <c r="K23" s="52">
        <f t="shared" si="8"/>
        <v>0.53729909217546867</v>
      </c>
      <c r="L23" s="52">
        <f t="shared" ca="1" si="7"/>
        <v>0.54135726705426368</v>
      </c>
      <c r="M23" s="74">
        <f t="shared" ca="1" si="9"/>
        <v>0.25299266009404081</v>
      </c>
      <c r="N23" s="72">
        <f ca="1">N24+2.5*(M24+M23)</f>
        <v>1.45668669710872</v>
      </c>
      <c r="O23" s="73">
        <f t="shared" ca="1" si="2"/>
        <v>5.7578219722550443</v>
      </c>
      <c r="P23" s="68">
        <f t="shared" ca="1" si="3"/>
        <v>0.14048833441518813</v>
      </c>
      <c r="Q23" s="45">
        <v>80</v>
      </c>
    </row>
    <row r="24" spans="1:27">
      <c r="A24" s="108" t="str">
        <f>IF(D24=0,"", "85+")</f>
        <v/>
      </c>
      <c r="B24" s="67">
        <f>Method!C25*EXP(-Method!J$2*(Method!E$2-Method!C$2))</f>
        <v>0</v>
      </c>
      <c r="C24" s="67">
        <f ca="1">Method!D25/Method!M$23</f>
        <v>0</v>
      </c>
      <c r="D24" s="67">
        <f>Method!E$3*'Life expectancies'!B24</f>
        <v>0</v>
      </c>
      <c r="E24" s="109" t="e">
        <f>IF(D24&gt;0,C24/D24,NA())</f>
        <v>#N/A</v>
      </c>
      <c r="F24" s="45">
        <v>85</v>
      </c>
      <c r="G24" s="69" t="e">
        <f>NA()</f>
        <v>#N/A</v>
      </c>
      <c r="H24" s="69" t="e">
        <f t="shared" ca="1" si="5"/>
        <v>#N/A</v>
      </c>
      <c r="I24" s="52" t="e">
        <f t="shared" ca="1" si="6"/>
        <v>#N/A</v>
      </c>
      <c r="J24" s="70">
        <f>'Model data'!D42</f>
        <v>0.12013000826542107</v>
      </c>
      <c r="K24" s="52">
        <f t="shared" si="8"/>
        <v>0.99559980067780607</v>
      </c>
      <c r="L24" s="52">
        <f t="shared" ca="1" si="7"/>
        <v>0.98927898444367579</v>
      </c>
      <c r="M24" s="74">
        <f t="shared" ca="1" si="9"/>
        <v>0.12147264320288309</v>
      </c>
      <c r="N24" s="72">
        <f t="shared" ca="1" si="1"/>
        <v>0.52052343886641039</v>
      </c>
      <c r="O24" s="73">
        <f t="shared" ca="1" si="2"/>
        <v>4.285108359723715</v>
      </c>
      <c r="P24" s="68">
        <f t="shared" ca="1" si="3"/>
        <v>0.21148152512884641</v>
      </c>
      <c r="Q24" s="45">
        <v>85</v>
      </c>
    </row>
    <row r="25" spans="1:27">
      <c r="A25" s="66"/>
      <c r="B25" s="67"/>
      <c r="C25" s="67"/>
      <c r="D25" s="45"/>
      <c r="E25" s="45"/>
      <c r="F25" s="45"/>
      <c r="G25" s="69"/>
      <c r="H25" s="69" t="e">
        <f t="shared" ca="1" si="5"/>
        <v>#N/A</v>
      </c>
      <c r="I25" s="52" t="e">
        <f t="shared" ca="1" si="6"/>
        <v>#N/A</v>
      </c>
      <c r="J25" s="70">
        <f>J24*EXP((LN(J24/J23))^2/LN(J23/J22))</f>
        <v>3.5964021582872381E-2</v>
      </c>
      <c r="K25" s="52">
        <f t="shared" si="8"/>
        <v>1.6443047888384308</v>
      </c>
      <c r="L25" s="52">
        <f t="shared" ca="1" si="7"/>
        <v>1.6232929560247462</v>
      </c>
      <c r="M25" s="74">
        <f t="shared" ca="1" si="9"/>
        <v>3.7449761757479182E-2</v>
      </c>
      <c r="N25" s="72">
        <f ca="1">N26+2.5*(M26+M25)</f>
        <v>0.12321742646550465</v>
      </c>
      <c r="O25" s="73">
        <f ca="1">N25/M25</f>
        <v>3.2902058833764571</v>
      </c>
      <c r="P25" s="68">
        <f ca="1">1/O25</f>
        <v>0.30393234814041042</v>
      </c>
      <c r="Q25" s="45">
        <v>90</v>
      </c>
    </row>
    <row r="26" spans="1:27">
      <c r="A26" s="66" t="s">
        <v>23</v>
      </c>
      <c r="B26" s="67">
        <f>SUM(B7:B24)</f>
        <v>1065384.1216905017</v>
      </c>
      <c r="C26" s="67">
        <f ca="1">SUM(C7:C24)</f>
        <v>7690.0849310432786</v>
      </c>
      <c r="D26" s="45"/>
      <c r="E26" s="45"/>
      <c r="F26" s="45"/>
      <c r="G26" s="45"/>
      <c r="H26" s="45"/>
      <c r="I26" s="45"/>
      <c r="J26" s="70">
        <f t="shared" ref="J26:J27" si="11">J25*EXP((LN(J25/J24))^2/LN(J24/J23))</f>
        <v>5.182404130880322E-3</v>
      </c>
      <c r="K26" s="52">
        <f t="shared" si="8"/>
        <v>2.628645166543099</v>
      </c>
      <c r="L26" s="52">
        <f t="shared" ca="1" si="7"/>
        <v>2.5853412886970681</v>
      </c>
      <c r="M26" s="74">
        <f t="shared" ca="1" si="9"/>
        <v>5.6486020280311659E-3</v>
      </c>
      <c r="N26" s="72">
        <f ca="1">N27+2.5*(M27+M26)</f>
        <v>1.5471517001728788E-2</v>
      </c>
      <c r="O26" s="45"/>
      <c r="P26" s="45"/>
      <c r="Q26" s="45"/>
    </row>
    <row r="27" spans="1:27">
      <c r="A27" s="45"/>
      <c r="B27" s="45"/>
      <c r="C27" s="45"/>
      <c r="D27" s="45"/>
      <c r="E27" s="45"/>
      <c r="F27" s="45"/>
      <c r="G27" s="45"/>
      <c r="H27" s="45"/>
      <c r="I27" s="45"/>
      <c r="J27" s="70">
        <f t="shared" si="11"/>
        <v>2.3073714560864389E-4</v>
      </c>
      <c r="K27" s="52">
        <f t="shared" si="8"/>
        <v>4.1870003146841395</v>
      </c>
      <c r="L27" s="52">
        <f t="shared" ca="1" si="7"/>
        <v>4.1084048609507571</v>
      </c>
      <c r="M27" s="74">
        <f t="shared" ca="1" si="9"/>
        <v>2.7000238633017448E-4</v>
      </c>
      <c r="N27" s="72">
        <f ca="1">N28+2.5*(M28+M27)</f>
        <v>6.7500596582543624E-4</v>
      </c>
      <c r="O27" s="45"/>
      <c r="P27" s="45"/>
      <c r="Q27" s="45"/>
    </row>
    <row r="28" spans="1:27">
      <c r="A28" s="45"/>
      <c r="B28" s="45"/>
      <c r="C28" s="19"/>
      <c r="D28" s="105"/>
      <c r="E28" s="45"/>
      <c r="F28" s="45"/>
      <c r="G28" s="45"/>
      <c r="H28" s="45"/>
      <c r="I28" s="45"/>
      <c r="J28" s="45"/>
      <c r="K28" s="45"/>
      <c r="L28" s="45"/>
      <c r="M28" s="45"/>
      <c r="N28" s="45"/>
      <c r="O28" s="45"/>
      <c r="P28" s="45"/>
      <c r="Q28" s="45"/>
    </row>
    <row r="29" spans="1:27" ht="15.75">
      <c r="A29" s="8" t="s">
        <v>46</v>
      </c>
      <c r="B29" s="78">
        <f>SUM(Method!D10:'Method'!D15)/SUM(Method!D16:'Method'!D19)</f>
        <v>1.1629175187457397</v>
      </c>
      <c r="C29" s="19">
        <f>HLOOKUP(B$29,B$38:AA$44,1)</f>
        <v>1.115</v>
      </c>
      <c r="D29" s="19">
        <f>HLOOKUP(HLOOKUP(B$29,B$38:AA$44,7)+1,B$37:AA$44,2)</f>
        <v>1.171</v>
      </c>
      <c r="E29" s="19">
        <f>(B29-C29)/(D29-C29)</f>
        <v>0.85566997760249364</v>
      </c>
      <c r="F29" s="19"/>
      <c r="G29" s="19"/>
      <c r="H29" s="19"/>
      <c r="I29" s="19"/>
      <c r="J29" s="19"/>
      <c r="K29" s="19"/>
      <c r="L29" s="19"/>
      <c r="M29" s="19"/>
      <c r="N29" s="19"/>
      <c r="O29" s="19"/>
      <c r="P29" s="19"/>
      <c r="Q29" s="19"/>
      <c r="R29" s="19"/>
      <c r="S29" s="19"/>
      <c r="T29" s="19"/>
      <c r="U29" s="19"/>
      <c r="V29" s="19"/>
      <c r="W29" s="19"/>
      <c r="X29" s="19"/>
      <c r="Y29" s="19"/>
      <c r="Z29" s="19"/>
      <c r="AA29" s="19"/>
    </row>
    <row r="30" spans="1:27">
      <c r="A30" s="18" t="s">
        <v>43</v>
      </c>
      <c r="B30" s="17" t="s">
        <v>44</v>
      </c>
      <c r="E30" s="19"/>
      <c r="F30" s="19"/>
      <c r="G30" s="19"/>
      <c r="H30" s="19"/>
      <c r="I30" s="19"/>
      <c r="J30" s="19"/>
      <c r="K30" s="19"/>
      <c r="L30" s="19"/>
      <c r="M30" s="19"/>
      <c r="N30" s="19"/>
      <c r="O30" s="19"/>
      <c r="P30" s="19"/>
      <c r="Q30" s="19"/>
      <c r="R30" s="19"/>
      <c r="S30" s="19"/>
      <c r="T30" s="19"/>
      <c r="U30" s="19"/>
      <c r="V30" s="19"/>
      <c r="W30" s="19"/>
      <c r="X30" s="19"/>
      <c r="Y30" s="19"/>
      <c r="Z30" s="19"/>
      <c r="AA30" s="19"/>
    </row>
    <row r="31" spans="1:27">
      <c r="A31" s="10">
        <v>65</v>
      </c>
      <c r="B31" s="106">
        <f>C31+(D31-C31)*E$29</f>
        <v>9.5519588080631017</v>
      </c>
      <c r="C31" s="19">
        <f>HLOOKUP(B$29,B$38:AA$44,2)</f>
        <v>9.86</v>
      </c>
      <c r="D31" s="11">
        <f>HLOOKUP(HLOOKUP(B$29,B$38:AA$44,7)+1,B$37:AA$44,3)</f>
        <v>9.5</v>
      </c>
      <c r="E31" s="19"/>
      <c r="G31" s="19"/>
      <c r="H31" s="19"/>
      <c r="I31" s="19"/>
      <c r="J31" s="19"/>
      <c r="K31" s="19"/>
      <c r="L31" s="19"/>
      <c r="M31" s="19"/>
      <c r="N31" s="19"/>
      <c r="O31" s="19"/>
      <c r="P31" s="19"/>
      <c r="Q31" s="19"/>
      <c r="R31" s="19"/>
      <c r="S31" s="19"/>
      <c r="T31" s="19"/>
      <c r="U31" s="19"/>
      <c r="V31" s="19"/>
      <c r="W31" s="19"/>
      <c r="X31" s="19"/>
      <c r="Y31" s="19"/>
      <c r="Z31" s="19"/>
      <c r="AA31" s="19"/>
    </row>
    <row r="32" spans="1:27">
      <c r="A32" s="10">
        <v>70</v>
      </c>
      <c r="B32" s="106">
        <f>C32+(D32-C32)*E$29</f>
        <v>7.3795567362936998</v>
      </c>
      <c r="C32" s="19">
        <f>HLOOKUP(B$29,B$38:AA$44,3)</f>
        <v>7.62</v>
      </c>
      <c r="D32" s="11">
        <f>HLOOKUP(HLOOKUP(B$29,B$38:AA$44,7)+1,B$37:AA$44,4)</f>
        <v>7.3390000000000004</v>
      </c>
      <c r="E32" s="19"/>
      <c r="G32" s="19"/>
      <c r="H32" s="19"/>
      <c r="I32" s="19"/>
      <c r="J32" s="19"/>
      <c r="K32" s="19"/>
      <c r="L32" s="19"/>
      <c r="M32" s="19"/>
      <c r="N32" s="19"/>
      <c r="O32" s="19"/>
      <c r="P32" s="19"/>
      <c r="Q32" s="19"/>
      <c r="R32" s="19"/>
      <c r="S32" s="19"/>
      <c r="T32" s="19"/>
      <c r="U32" s="19"/>
      <c r="V32" s="19"/>
      <c r="W32" s="19"/>
      <c r="X32" s="19"/>
      <c r="Y32" s="19"/>
      <c r="Z32" s="19"/>
      <c r="AA32" s="19"/>
    </row>
    <row r="33" spans="1:27">
      <c r="A33" s="10">
        <v>75</v>
      </c>
      <c r="B33" s="106">
        <f>C33+(D33-C33)*E$29</f>
        <v>5.5703093047034766</v>
      </c>
      <c r="C33" s="19">
        <f>HLOOKUP(B$29,B$38:AA$44,4)</f>
        <v>5.75</v>
      </c>
      <c r="D33" s="19">
        <f>HLOOKUP(HLOOKUP(B$29,B$38:AA$44,7)+1,B$37:AA$44,5)</f>
        <v>5.54</v>
      </c>
      <c r="E33" s="19"/>
      <c r="G33" s="19"/>
      <c r="H33" s="19"/>
      <c r="I33" s="19"/>
      <c r="J33" s="19"/>
      <c r="K33" s="19"/>
      <c r="L33" s="19"/>
      <c r="M33" s="19"/>
      <c r="N33" s="19"/>
      <c r="O33" s="19"/>
      <c r="P33" s="19"/>
      <c r="Q33" s="19"/>
      <c r="R33" s="19"/>
      <c r="S33" s="19"/>
      <c r="T33" s="19"/>
      <c r="U33" s="19"/>
      <c r="V33" s="19"/>
      <c r="W33" s="19"/>
      <c r="X33" s="19"/>
      <c r="Y33" s="19"/>
      <c r="Z33" s="19"/>
      <c r="AA33" s="19"/>
    </row>
    <row r="34" spans="1:27">
      <c r="A34" s="10">
        <v>80</v>
      </c>
      <c r="B34" s="106">
        <f>C34+(D34-C34)*E$29</f>
        <v>4.061649503359626</v>
      </c>
      <c r="C34" s="19">
        <f>HLOOKUP(B$29,B$38:AA$44,5)</f>
        <v>4.1900000000000004</v>
      </c>
      <c r="D34" s="19">
        <f>HLOOKUP(HLOOKUP(B$29,B$38:AA$44,7)+1,B$37:AA$44,6)</f>
        <v>4.04</v>
      </c>
      <c r="E34" s="19"/>
      <c r="G34" s="19"/>
      <c r="H34" s="19"/>
      <c r="I34" s="19"/>
      <c r="J34" s="19"/>
      <c r="K34" s="19"/>
      <c r="L34" s="19"/>
      <c r="M34" s="19"/>
      <c r="N34" s="19"/>
      <c r="O34" s="19"/>
      <c r="P34" s="19"/>
      <c r="Q34" s="19"/>
      <c r="R34" s="19"/>
      <c r="S34" s="19"/>
      <c r="T34" s="19"/>
      <c r="U34" s="19"/>
      <c r="V34" s="19"/>
      <c r="W34" s="19"/>
      <c r="X34" s="19"/>
      <c r="Y34" s="19"/>
      <c r="Z34" s="19"/>
      <c r="AA34" s="19"/>
    </row>
    <row r="35" spans="1:27">
      <c r="A35" s="10">
        <v>85</v>
      </c>
      <c r="B35" s="106">
        <f>C35+(D35-C35)*E$29</f>
        <v>2.8844330022397506</v>
      </c>
      <c r="C35" s="19">
        <f>HLOOKUP(B$29,B$38:AA$44,6)</f>
        <v>2.97</v>
      </c>
      <c r="D35" s="19">
        <f>HLOOKUP(HLOOKUP(B$29,B$38:AA$44,7)+1,B$37:AA$44,7)</f>
        <v>2.87</v>
      </c>
      <c r="E35" s="12"/>
      <c r="G35" s="12"/>
      <c r="H35" s="12"/>
      <c r="I35" s="12"/>
      <c r="J35" s="12"/>
      <c r="K35" s="12"/>
      <c r="L35" s="12"/>
      <c r="M35" s="12"/>
      <c r="N35" s="12"/>
      <c r="O35" s="12"/>
      <c r="P35" s="12"/>
      <c r="Q35" s="12"/>
      <c r="R35" s="12"/>
      <c r="S35" s="12"/>
      <c r="T35" s="12"/>
      <c r="U35" s="12"/>
      <c r="V35" s="12"/>
      <c r="W35" s="12"/>
      <c r="X35" s="12"/>
      <c r="Y35" s="12"/>
      <c r="Z35" s="12"/>
      <c r="AA35" s="12"/>
    </row>
    <row r="36" spans="1:27">
      <c r="B36" s="13" t="s">
        <v>35</v>
      </c>
      <c r="C36" s="12">
        <v>25</v>
      </c>
      <c r="D36" s="12">
        <v>24</v>
      </c>
      <c r="E36" s="12">
        <v>23</v>
      </c>
      <c r="F36" s="12">
        <v>22</v>
      </c>
      <c r="G36" s="12">
        <v>21</v>
      </c>
      <c r="H36" s="12">
        <v>20</v>
      </c>
      <c r="I36" s="12">
        <v>19</v>
      </c>
      <c r="J36" s="12">
        <v>18</v>
      </c>
      <c r="K36" s="12">
        <v>17</v>
      </c>
      <c r="L36" s="12">
        <v>16</v>
      </c>
      <c r="M36" s="12">
        <v>15</v>
      </c>
      <c r="N36" s="12">
        <v>14</v>
      </c>
      <c r="O36" s="12">
        <v>13</v>
      </c>
      <c r="P36" s="12">
        <v>12</v>
      </c>
      <c r="Q36" s="12">
        <v>11</v>
      </c>
      <c r="R36" s="12">
        <v>10</v>
      </c>
      <c r="S36" s="12">
        <v>9</v>
      </c>
      <c r="T36" s="12">
        <v>8</v>
      </c>
      <c r="U36" s="12">
        <v>7</v>
      </c>
      <c r="V36" s="12">
        <v>6</v>
      </c>
      <c r="W36" s="12">
        <v>5</v>
      </c>
      <c r="X36" s="12">
        <v>4</v>
      </c>
      <c r="Y36" s="12">
        <v>3</v>
      </c>
      <c r="Z36" s="12">
        <v>2</v>
      </c>
      <c r="AA36" s="12">
        <v>1</v>
      </c>
    </row>
    <row r="37" spans="1:27">
      <c r="A37" s="19"/>
      <c r="B37" s="13"/>
      <c r="C37" s="12">
        <v>1</v>
      </c>
      <c r="D37" s="12">
        <v>2</v>
      </c>
      <c r="E37" s="12">
        <v>3</v>
      </c>
      <c r="F37" s="12">
        <v>4</v>
      </c>
      <c r="G37" s="12">
        <v>5</v>
      </c>
      <c r="H37" s="12">
        <v>6</v>
      </c>
      <c r="I37" s="12">
        <v>7</v>
      </c>
      <c r="J37" s="12">
        <v>8</v>
      </c>
      <c r="K37" s="12">
        <v>9</v>
      </c>
      <c r="L37" s="12">
        <v>10</v>
      </c>
      <c r="M37" s="12">
        <v>11</v>
      </c>
      <c r="N37" s="12">
        <v>12</v>
      </c>
      <c r="O37" s="12">
        <v>13</v>
      </c>
      <c r="P37" s="12">
        <v>14</v>
      </c>
      <c r="Q37" s="12">
        <v>15</v>
      </c>
      <c r="R37" s="12">
        <v>16</v>
      </c>
      <c r="S37" s="12">
        <v>17</v>
      </c>
      <c r="T37" s="12">
        <v>18</v>
      </c>
      <c r="U37" s="12">
        <v>19</v>
      </c>
      <c r="V37" s="12">
        <v>20</v>
      </c>
      <c r="W37" s="12">
        <v>21</v>
      </c>
      <c r="X37" s="12">
        <v>22</v>
      </c>
      <c r="Y37" s="12">
        <v>23</v>
      </c>
      <c r="Z37" s="12">
        <v>24</v>
      </c>
      <c r="AA37" s="12">
        <v>25</v>
      </c>
    </row>
    <row r="38" spans="1:27">
      <c r="A38" s="19"/>
      <c r="B38" s="14" t="s">
        <v>36</v>
      </c>
      <c r="C38" s="16">
        <v>0.11700000000000001</v>
      </c>
      <c r="D38" s="16">
        <v>0.17499999999999999</v>
      </c>
      <c r="E38" s="16">
        <v>0.23499999999999999</v>
      </c>
      <c r="F38" s="16">
        <v>0.29799999999999999</v>
      </c>
      <c r="G38" s="16">
        <v>0.36499999999999999</v>
      </c>
      <c r="H38" s="16">
        <v>0.438</v>
      </c>
      <c r="I38" s="16">
        <v>0.501</v>
      </c>
      <c r="J38" s="16">
        <v>0.56000000000000005</v>
      </c>
      <c r="K38" s="16">
        <v>0.61699999999999999</v>
      </c>
      <c r="L38" s="16">
        <v>0.67300000000000004</v>
      </c>
      <c r="M38" s="16">
        <v>0.72899999999999998</v>
      </c>
      <c r="N38" s="16">
        <v>0.78700000000000003</v>
      </c>
      <c r="O38" s="16">
        <v>0.82699999999999996</v>
      </c>
      <c r="P38" s="16">
        <v>0.872</v>
      </c>
      <c r="Q38" s="16">
        <v>0.91800000000000004</v>
      </c>
      <c r="R38" s="16">
        <v>0.96399999999999997</v>
      </c>
      <c r="S38" s="16">
        <v>1.012</v>
      </c>
      <c r="T38" s="16">
        <v>1.0620000000000001</v>
      </c>
      <c r="U38" s="16">
        <v>1.115</v>
      </c>
      <c r="V38" s="16">
        <v>1.171</v>
      </c>
      <c r="W38" s="16">
        <v>1.2330000000000001</v>
      </c>
      <c r="X38" s="16">
        <v>1.3</v>
      </c>
      <c r="Y38" s="16">
        <v>1.3759999999999999</v>
      </c>
      <c r="Z38" s="15">
        <v>1.462</v>
      </c>
      <c r="AA38" s="15">
        <v>1.5609999999999999</v>
      </c>
    </row>
    <row r="39" spans="1:27">
      <c r="A39" s="19"/>
      <c r="B39" s="19" t="s">
        <v>37</v>
      </c>
      <c r="C39" s="9">
        <f>IF(Introduction!$D$10="Males",C48,C56)</f>
        <v>17.5</v>
      </c>
      <c r="D39" s="9">
        <f>IF(Introduction!$D$10="Males",D48,D56)</f>
        <v>16.38</v>
      </c>
      <c r="E39" s="9">
        <f>IF(Introduction!$D$10="Males",E48,E56)</f>
        <v>15.52</v>
      </c>
      <c r="F39" s="9">
        <f>IF(Introduction!$D$10="Males",F48,F56)</f>
        <v>14.85</v>
      </c>
      <c r="G39" s="9">
        <f>IF(Introduction!$D$10="Males",G48,G56)</f>
        <v>14.3</v>
      </c>
      <c r="H39" s="9">
        <f>IF(Introduction!$D$10="Males",H48,H56)</f>
        <v>13.93</v>
      </c>
      <c r="I39" s="9">
        <f>IF(Introduction!$D$10="Males",I48,I56)</f>
        <v>13.6</v>
      </c>
      <c r="J39" s="9">
        <f>IF(Introduction!$D$10="Males",J48,J56)</f>
        <v>13.28</v>
      </c>
      <c r="K39" s="9">
        <f>IF(Introduction!$D$10="Males",K48,K56)</f>
        <v>12.97</v>
      </c>
      <c r="L39" s="9">
        <f>IF(Introduction!$D$10="Males",L48,L56)</f>
        <v>12.67</v>
      </c>
      <c r="M39" s="9">
        <f>IF(Introduction!$D$10="Males",M48,M56)</f>
        <v>12.4</v>
      </c>
      <c r="N39" s="9">
        <f>IF(Introduction!$D$10="Males",N48,N56)</f>
        <v>12.13</v>
      </c>
      <c r="O39" s="9">
        <f>IF(Introduction!$D$10="Males",O48,O56)</f>
        <v>11.87</v>
      </c>
      <c r="P39" s="9">
        <f>IF(Introduction!$D$10="Males",P48,P56)</f>
        <v>11.56</v>
      </c>
      <c r="Q39" s="9">
        <f>IF(Introduction!$D$10="Males",Q48,Q56)</f>
        <v>11.23</v>
      </c>
      <c r="R39" s="9">
        <f>IF(Introduction!$D$10="Males",R48,R56)</f>
        <v>10.9</v>
      </c>
      <c r="S39" s="9">
        <f>IF(Introduction!$D$10="Males",S48,S56)</f>
        <v>10.56</v>
      </c>
      <c r="T39" s="9">
        <f>IF(Introduction!$D$10="Males",T48,T56)</f>
        <v>10.220000000000001</v>
      </c>
      <c r="U39" s="9">
        <f>IF(Introduction!$D$10="Males",U48,U56)</f>
        <v>9.86</v>
      </c>
      <c r="V39" s="9">
        <f>IF(Introduction!$D$10="Males",V48,V56)</f>
        <v>9.5</v>
      </c>
      <c r="W39" s="9">
        <f>IF(Introduction!$D$10="Males",W48,W56)</f>
        <v>9.1300000000000008</v>
      </c>
      <c r="X39" s="9">
        <f>IF(Introduction!$D$10="Males",X48,X56)</f>
        <v>8.76</v>
      </c>
      <c r="Y39" s="9">
        <f>IF(Introduction!$D$10="Males",Y48,Y56)</f>
        <v>8.3699999999999992</v>
      </c>
      <c r="Z39" s="9">
        <f>IF(Introduction!$D$10="Males",Z48,Z56)</f>
        <v>7.9640000000000004</v>
      </c>
      <c r="AA39" s="9">
        <f>IF(Introduction!$D$10="Males",AA48,AA56)</f>
        <v>7.548</v>
      </c>
    </row>
    <row r="40" spans="1:27">
      <c r="A40" s="19"/>
      <c r="B40" s="19" t="s">
        <v>38</v>
      </c>
      <c r="C40" s="9">
        <f>IF(Introduction!$D$10="Males",C49,C57)</f>
        <v>13.58</v>
      </c>
      <c r="D40" s="9">
        <f>IF(Introduction!$D$10="Males",D49,D57)</f>
        <v>12.66</v>
      </c>
      <c r="E40" s="9">
        <f>IF(Introduction!$D$10="Males",E49,E57)</f>
        <v>11.97</v>
      </c>
      <c r="F40" s="9">
        <f>IF(Introduction!$D$10="Males",F49,F57)</f>
        <v>11.44</v>
      </c>
      <c r="G40" s="9">
        <f>IF(Introduction!$D$10="Males",G49,G57)</f>
        <v>11.01</v>
      </c>
      <c r="H40" s="9">
        <f>IF(Introduction!$D$10="Males",H49,H57)</f>
        <v>10.73</v>
      </c>
      <c r="I40" s="9">
        <f>IF(Introduction!$D$10="Males",I49,I57)</f>
        <v>10.48</v>
      </c>
      <c r="J40" s="9">
        <f>IF(Introduction!$D$10="Males",J49,J57)</f>
        <v>10.23</v>
      </c>
      <c r="K40" s="9">
        <f>IF(Introduction!$D$10="Males",K49,K57)</f>
        <v>10</v>
      </c>
      <c r="L40" s="9">
        <f>IF(Introduction!$D$10="Males",L49,L57)</f>
        <v>9.7899999999999991</v>
      </c>
      <c r="M40" s="9">
        <f>IF(Introduction!$D$10="Males",M49,M57)</f>
        <v>9.56</v>
      </c>
      <c r="N40" s="9">
        <f>IF(Introduction!$D$10="Males",N49,N57)</f>
        <v>9.3699999999999992</v>
      </c>
      <c r="O40" s="9">
        <f>IF(Introduction!$D$10="Males",O49,O57)</f>
        <v>9.17</v>
      </c>
      <c r="P40" s="9">
        <f>IF(Introduction!$D$10="Males",P49,P57)</f>
        <v>8.92</v>
      </c>
      <c r="Q40" s="9">
        <f>IF(Introduction!$D$10="Males",Q49,Q57)</f>
        <v>8.67</v>
      </c>
      <c r="R40" s="9">
        <f>IF(Introduction!$D$10="Males",R49,R57)</f>
        <v>8.42</v>
      </c>
      <c r="S40" s="9">
        <f>IF(Introduction!$D$10="Males",S49,S57)</f>
        <v>8.1590000000000007</v>
      </c>
      <c r="T40" s="9">
        <f>IF(Introduction!$D$10="Males",T49,T57)</f>
        <v>7.8929999999999998</v>
      </c>
      <c r="U40" s="9">
        <f>IF(Introduction!$D$10="Males",U49,U57)</f>
        <v>7.62</v>
      </c>
      <c r="V40" s="9">
        <f>IF(Introduction!$D$10="Males",V49,V57)</f>
        <v>7.3390000000000004</v>
      </c>
      <c r="W40" s="9">
        <f>IF(Introduction!$D$10="Males",W49,W57)</f>
        <v>7.0510000000000002</v>
      </c>
      <c r="X40" s="9">
        <f>IF(Introduction!$D$10="Males",X49,X57)</f>
        <v>6.7539999999999996</v>
      </c>
      <c r="Y40" s="9">
        <f>IF(Introduction!$D$10="Males",Y49,Y57)</f>
        <v>6.4480000000000004</v>
      </c>
      <c r="Z40" s="9">
        <f>IF(Introduction!$D$10="Males",Z49,Z57)</f>
        <v>6.13</v>
      </c>
      <c r="AA40" s="9">
        <f>IF(Introduction!$D$10="Males",AA49,AA57)</f>
        <v>5.8</v>
      </c>
    </row>
    <row r="41" spans="1:27">
      <c r="A41" s="19"/>
      <c r="B41" s="19" t="s">
        <v>39</v>
      </c>
      <c r="C41" s="9">
        <f>IF(Introduction!$D$10="Males",C50,C58)</f>
        <v>10.17</v>
      </c>
      <c r="D41" s="9">
        <f>IF(Introduction!$D$10="Males",D50,D58)</f>
        <v>9.4600000000000009</v>
      </c>
      <c r="E41" s="9">
        <f>IF(Introduction!$D$10="Males",E50,E58)</f>
        <v>8.94</v>
      </c>
      <c r="F41" s="9">
        <f>IF(Introduction!$D$10="Males",F50,F58)</f>
        <v>8.5399999999999991</v>
      </c>
      <c r="G41" s="9">
        <f>IF(Introduction!$D$10="Males",G50,G58)</f>
        <v>8.2200000000000006</v>
      </c>
      <c r="H41" s="9">
        <f>IF(Introduction!$D$10="Males",H50,H58)</f>
        <v>8.01</v>
      </c>
      <c r="I41" s="9">
        <f>IF(Introduction!$D$10="Males",I50,I58)</f>
        <v>7.83</v>
      </c>
      <c r="J41" s="9">
        <f>IF(Introduction!$D$10="Males",J50,J58)</f>
        <v>7.65</v>
      </c>
      <c r="K41" s="9">
        <f>IF(Introduction!$D$10="Males",K50,K58)</f>
        <v>7.48</v>
      </c>
      <c r="L41" s="9">
        <f>IF(Introduction!$D$10="Males",L50,L58)</f>
        <v>7.32</v>
      </c>
      <c r="M41" s="9">
        <f>IF(Introduction!$D$10="Males",M50,M58)</f>
        <v>7.16</v>
      </c>
      <c r="N41" s="9">
        <f>IF(Introduction!$D$10="Males",N50,N58)</f>
        <v>7.02</v>
      </c>
      <c r="O41" s="9">
        <f>IF(Introduction!$D$10="Males",O50,O58)</f>
        <v>6.88</v>
      </c>
      <c r="P41" s="9">
        <f>IF(Introduction!$D$10="Males",P50,P58)</f>
        <v>6.7</v>
      </c>
      <c r="Q41" s="9">
        <f>IF(Introduction!$D$10="Males",Q50,Q58)</f>
        <v>6.52</v>
      </c>
      <c r="R41" s="9">
        <f>IF(Introduction!$D$10="Males",R50,R58)</f>
        <v>6.33</v>
      </c>
      <c r="S41" s="9">
        <f>IF(Introduction!$D$10="Males",S50,S58)</f>
        <v>6.14</v>
      </c>
      <c r="T41" s="9">
        <f>IF(Introduction!$D$10="Males",T50,T58)</f>
        <v>5.95</v>
      </c>
      <c r="U41" s="9">
        <f>IF(Introduction!$D$10="Males",U50,U58)</f>
        <v>5.75</v>
      </c>
      <c r="V41" s="9">
        <f>IF(Introduction!$D$10="Males",V50,V58)</f>
        <v>5.54</v>
      </c>
      <c r="W41" s="9">
        <f>IF(Introduction!$D$10="Males",W50,W58)</f>
        <v>5.33</v>
      </c>
      <c r="X41" s="9">
        <f>IF(Introduction!$D$10="Males",X50,X58)</f>
        <v>5.1100000000000003</v>
      </c>
      <c r="Y41" s="9">
        <f>IF(Introduction!$D$10="Males",Y50,Y58)</f>
        <v>4.88</v>
      </c>
      <c r="Z41" s="9">
        <f>IF(Introduction!$D$10="Males",Z50,Z58)</f>
        <v>4.6399999999999997</v>
      </c>
      <c r="AA41" s="9">
        <f>IF(Introduction!$D$10="Males",AA50,AA58)</f>
        <v>4.391</v>
      </c>
    </row>
    <row r="42" spans="1:27">
      <c r="A42" s="19"/>
      <c r="B42" s="19" t="s">
        <v>40</v>
      </c>
      <c r="C42" s="9">
        <f>IF(Introduction!$D$10="Males",C51,C59)</f>
        <v>7.45</v>
      </c>
      <c r="D42" s="9">
        <f>IF(Introduction!$D$10="Males",D51,D59)</f>
        <v>6.91</v>
      </c>
      <c r="E42" s="9">
        <f>IF(Introduction!$D$10="Males",E51,E59)</f>
        <v>6.52</v>
      </c>
      <c r="F42" s="9">
        <f>IF(Introduction!$D$10="Males",F51,F59)</f>
        <v>6.22</v>
      </c>
      <c r="G42" s="9">
        <f>IF(Introduction!$D$10="Males",G51,G59)</f>
        <v>5.99</v>
      </c>
      <c r="H42" s="9">
        <f>IF(Introduction!$D$10="Males",H51,H59)</f>
        <v>5.84</v>
      </c>
      <c r="I42" s="9">
        <f>IF(Introduction!$D$10="Males",I51,I59)</f>
        <v>5.7</v>
      </c>
      <c r="J42" s="9">
        <f>IF(Introduction!$D$10="Males",J51,J59)</f>
        <v>5.57</v>
      </c>
      <c r="K42" s="9">
        <f>IF(Introduction!$D$10="Males",K51,K59)</f>
        <v>5.44</v>
      </c>
      <c r="L42" s="9">
        <f>IF(Introduction!$D$10="Males",L51,L59)</f>
        <v>5.33</v>
      </c>
      <c r="M42" s="9">
        <f>IF(Introduction!$D$10="Males",M51,M59)</f>
        <v>5.21</v>
      </c>
      <c r="N42" s="9">
        <f>IF(Introduction!$D$10="Males",N51,N59)</f>
        <v>5.1100000000000003</v>
      </c>
      <c r="O42" s="9">
        <f>IF(Introduction!$D$10="Males",O51,O59)</f>
        <v>5</v>
      </c>
      <c r="P42" s="9">
        <f>IF(Introduction!$D$10="Males",P51,P59)</f>
        <v>4.88</v>
      </c>
      <c r="Q42" s="9">
        <f>IF(Introduction!$D$10="Males",Q51,Q59)</f>
        <v>4.74</v>
      </c>
      <c r="R42" s="9">
        <f>IF(Introduction!$D$10="Males",R51,R59)</f>
        <v>4.6100000000000003</v>
      </c>
      <c r="S42" s="9">
        <f>IF(Introduction!$D$10="Males",S51,S59)</f>
        <v>4.47</v>
      </c>
      <c r="T42" s="9">
        <f>IF(Introduction!$D$10="Males",T51,T59)</f>
        <v>4.33</v>
      </c>
      <c r="U42" s="9">
        <f>IF(Introduction!$D$10="Males",U51,U59)</f>
        <v>4.1900000000000004</v>
      </c>
      <c r="V42" s="9">
        <f>IF(Introduction!$D$10="Males",V51,V59)</f>
        <v>4.04</v>
      </c>
      <c r="W42" s="9">
        <f>IF(Introduction!$D$10="Males",W51,W59)</f>
        <v>3.89</v>
      </c>
      <c r="X42" s="9">
        <f>IF(Introduction!$D$10="Males",X51,X59)</f>
        <v>3.73</v>
      </c>
      <c r="Y42" s="9">
        <f>IF(Introduction!$D$10="Males",Y51,Y59)</f>
        <v>3.57</v>
      </c>
      <c r="Z42" s="9">
        <f>IF(Introduction!$D$10="Males",Z51,Z59)</f>
        <v>3.3980000000000001</v>
      </c>
      <c r="AA42" s="9">
        <f>IF(Introduction!$D$10="Males",AA51,AA59)</f>
        <v>3.222</v>
      </c>
    </row>
    <row r="43" spans="1:27">
      <c r="A43" s="19"/>
      <c r="B43" s="19" t="s">
        <v>41</v>
      </c>
      <c r="C43" s="9">
        <f>IF(Introduction!$D$10="Males",C52,C60)</f>
        <v>5.24</v>
      </c>
      <c r="D43" s="9">
        <f>IF(Introduction!$D$10="Males",D52,D60)</f>
        <v>4.8600000000000003</v>
      </c>
      <c r="E43" s="9">
        <f>IF(Introduction!$D$10="Males",E52,E60)</f>
        <v>4.59</v>
      </c>
      <c r="F43" s="9">
        <f>IF(Introduction!$D$10="Males",F52,F60)</f>
        <v>4.38</v>
      </c>
      <c r="G43" s="9">
        <f>IF(Introduction!$D$10="Males",G52,G60)</f>
        <v>4.21</v>
      </c>
      <c r="H43" s="9">
        <f>IF(Introduction!$D$10="Males",H52,H60)</f>
        <v>4.1100000000000003</v>
      </c>
      <c r="I43" s="9">
        <f>IF(Introduction!$D$10="Males",I52,I60)</f>
        <v>4.01</v>
      </c>
      <c r="J43" s="9">
        <f>IF(Introduction!$D$10="Males",J52,J60)</f>
        <v>3.92</v>
      </c>
      <c r="K43" s="9">
        <f>IF(Introduction!$D$10="Males",K52,K60)</f>
        <v>3.92</v>
      </c>
      <c r="L43" s="9">
        <f>IF(Introduction!$D$10="Males",L52,L60)</f>
        <v>3.75</v>
      </c>
      <c r="M43" s="9">
        <f>IF(Introduction!$D$10="Males",M52,M60)</f>
        <v>3.67</v>
      </c>
      <c r="N43" s="9">
        <f>IF(Introduction!$D$10="Males",N52,N60)</f>
        <v>3.6</v>
      </c>
      <c r="O43" s="9">
        <f>IF(Introduction!$D$10="Males",O52,O60)</f>
        <v>3.53</v>
      </c>
      <c r="P43" s="9">
        <f>IF(Introduction!$D$10="Males",P52,P60)</f>
        <v>3.44</v>
      </c>
      <c r="Q43" s="9">
        <f>IF(Introduction!$D$10="Males",Q52,Q60)</f>
        <v>3.35</v>
      </c>
      <c r="R43" s="9">
        <f>IF(Introduction!$D$10="Males",R52,R60)</f>
        <v>3.26</v>
      </c>
      <c r="S43" s="9">
        <f>IF(Introduction!$D$10="Males",S52,S60)</f>
        <v>3.16</v>
      </c>
      <c r="T43" s="9">
        <f>IF(Introduction!$D$10="Males",T52,T60)</f>
        <v>3.07</v>
      </c>
      <c r="U43" s="9">
        <f>IF(Introduction!$D$10="Males",U52,U60)</f>
        <v>2.97</v>
      </c>
      <c r="V43" s="9">
        <f>IF(Introduction!$D$10="Males",V52,V60)</f>
        <v>2.87</v>
      </c>
      <c r="W43" s="9">
        <f>IF(Introduction!$D$10="Males",W52,W60)</f>
        <v>2.76</v>
      </c>
      <c r="X43" s="9">
        <f>IF(Introduction!$D$10="Males",X52,X60)</f>
        <v>2.65</v>
      </c>
      <c r="Y43" s="9">
        <f>IF(Introduction!$D$10="Males",Y52,Y60)</f>
        <v>2.54</v>
      </c>
      <c r="Z43" s="9">
        <f>IF(Introduction!$D$10="Males",Z52,Z60)</f>
        <v>2.4289999999999998</v>
      </c>
      <c r="AA43" s="9">
        <f>IF(Introduction!$D$10="Males",AA52,AA60)</f>
        <v>2.3090000000000002</v>
      </c>
    </row>
    <row r="44" spans="1:27">
      <c r="A44" s="19"/>
      <c r="B44" s="19"/>
      <c r="C44" s="49">
        <v>1</v>
      </c>
      <c r="D44" s="49">
        <v>2</v>
      </c>
      <c r="E44" s="49">
        <v>3</v>
      </c>
      <c r="F44" s="49">
        <v>4</v>
      </c>
      <c r="G44" s="49">
        <v>5</v>
      </c>
      <c r="H44" s="49">
        <v>6</v>
      </c>
      <c r="I44" s="49">
        <v>7</v>
      </c>
      <c r="J44" s="49">
        <v>8</v>
      </c>
      <c r="K44" s="49">
        <v>9</v>
      </c>
      <c r="L44" s="49">
        <v>10</v>
      </c>
      <c r="M44" s="49">
        <v>11</v>
      </c>
      <c r="N44" s="49">
        <v>12</v>
      </c>
      <c r="O44" s="49">
        <v>13</v>
      </c>
      <c r="P44" s="49">
        <v>14</v>
      </c>
      <c r="Q44" s="49">
        <v>15</v>
      </c>
      <c r="R44" s="49">
        <v>16</v>
      </c>
      <c r="S44" s="49">
        <v>17</v>
      </c>
      <c r="T44" s="49">
        <v>18</v>
      </c>
      <c r="U44" s="49">
        <v>19</v>
      </c>
      <c r="V44" s="49">
        <v>20</v>
      </c>
      <c r="W44" s="49">
        <v>21</v>
      </c>
      <c r="X44" s="49">
        <v>22</v>
      </c>
      <c r="Y44" s="49">
        <v>23</v>
      </c>
      <c r="Z44" s="49">
        <v>24</v>
      </c>
      <c r="AA44" s="49">
        <v>25</v>
      </c>
    </row>
    <row r="45" spans="1:27">
      <c r="A45" s="19"/>
      <c r="B45" s="19"/>
    </row>
    <row r="46" spans="1:27">
      <c r="A46" s="19" t="s">
        <v>42</v>
      </c>
      <c r="B46" s="13" t="s">
        <v>35</v>
      </c>
      <c r="C46" s="12">
        <v>25</v>
      </c>
      <c r="D46" s="12">
        <v>24</v>
      </c>
      <c r="E46" s="12">
        <v>23</v>
      </c>
      <c r="F46" s="12">
        <v>22</v>
      </c>
      <c r="G46" s="12">
        <v>21</v>
      </c>
      <c r="H46" s="12">
        <v>20</v>
      </c>
      <c r="I46" s="12">
        <v>19</v>
      </c>
      <c r="J46" s="12">
        <v>18</v>
      </c>
      <c r="K46" s="12">
        <v>17</v>
      </c>
      <c r="L46" s="12">
        <v>16</v>
      </c>
      <c r="M46" s="12">
        <v>15</v>
      </c>
      <c r="N46" s="12">
        <v>14</v>
      </c>
      <c r="O46" s="12">
        <v>13</v>
      </c>
      <c r="P46" s="12">
        <v>12</v>
      </c>
      <c r="Q46" s="12">
        <v>11</v>
      </c>
      <c r="R46" s="12">
        <v>10</v>
      </c>
      <c r="S46" s="12">
        <v>9</v>
      </c>
      <c r="T46" s="12">
        <v>8</v>
      </c>
      <c r="U46" s="12">
        <v>7</v>
      </c>
      <c r="V46" s="12">
        <v>6</v>
      </c>
      <c r="W46" s="12">
        <v>5</v>
      </c>
      <c r="X46" s="12">
        <v>4</v>
      </c>
      <c r="Y46" s="12">
        <v>3</v>
      </c>
      <c r="Z46" s="12">
        <v>2</v>
      </c>
      <c r="AA46" s="12">
        <v>1</v>
      </c>
    </row>
    <row r="47" spans="1:27">
      <c r="A47" s="19"/>
      <c r="B47" s="14" t="s">
        <v>36</v>
      </c>
      <c r="C47" s="16">
        <v>0.11700000000000001</v>
      </c>
      <c r="D47" s="16">
        <v>0.17499999999999999</v>
      </c>
      <c r="E47" s="16">
        <v>0.23499999999999999</v>
      </c>
      <c r="F47" s="16">
        <v>0.29799999999999999</v>
      </c>
      <c r="G47" s="16">
        <v>0.36499999999999999</v>
      </c>
      <c r="H47" s="16">
        <v>0.438</v>
      </c>
      <c r="I47" s="16">
        <v>0.501</v>
      </c>
      <c r="J47" s="16">
        <v>0.56000000000000005</v>
      </c>
      <c r="K47" s="16">
        <v>0.61699999999999999</v>
      </c>
      <c r="L47" s="16">
        <v>0.67300000000000004</v>
      </c>
      <c r="M47" s="16">
        <v>0.72899999999999998</v>
      </c>
      <c r="N47" s="16">
        <v>0.78700000000000003</v>
      </c>
      <c r="O47" s="16">
        <v>0.82699999999999996</v>
      </c>
      <c r="P47" s="16">
        <v>0.872</v>
      </c>
      <c r="Q47" s="16">
        <v>0.91800000000000004</v>
      </c>
      <c r="R47" s="16">
        <v>0.96399999999999997</v>
      </c>
      <c r="S47" s="16">
        <v>1.012</v>
      </c>
      <c r="T47" s="16">
        <v>1.0620000000000001</v>
      </c>
      <c r="U47" s="16">
        <v>1.115</v>
      </c>
      <c r="V47" s="16">
        <v>1.171</v>
      </c>
      <c r="W47" s="16">
        <v>1.2330000000000001</v>
      </c>
      <c r="X47" s="16">
        <v>1.3</v>
      </c>
      <c r="Y47" s="16">
        <v>1.3759999999999999</v>
      </c>
      <c r="Z47" s="15">
        <v>1.462</v>
      </c>
      <c r="AA47" s="15">
        <v>1.5609999999999999</v>
      </c>
    </row>
    <row r="48" spans="1:27">
      <c r="A48" s="19"/>
      <c r="B48" s="19" t="s">
        <v>37</v>
      </c>
      <c r="C48" s="9">
        <v>15.542523208944173</v>
      </c>
      <c r="D48" s="9">
        <v>14.563172016014803</v>
      </c>
      <c r="E48" s="9">
        <v>13.823402833641209</v>
      </c>
      <c r="F48" s="9">
        <v>13.249643783458126</v>
      </c>
      <c r="G48" s="9">
        <v>12.795913327313944</v>
      </c>
      <c r="H48" s="9">
        <v>12.494320218814803</v>
      </c>
      <c r="I48" s="9">
        <v>12.215143910006702</v>
      </c>
      <c r="J48" s="9">
        <v>11.946673438449171</v>
      </c>
      <c r="K48" s="9">
        <v>11.69074611773123</v>
      </c>
      <c r="L48" s="9">
        <v>11.44790611737503</v>
      </c>
      <c r="M48" s="9">
        <v>11.218453202765543</v>
      </c>
      <c r="N48" s="9">
        <v>11.002493654238402</v>
      </c>
      <c r="O48" s="9">
        <v>10.778824701548249</v>
      </c>
      <c r="P48" s="9">
        <v>10.50088689536136</v>
      </c>
      <c r="Q48" s="9">
        <v>10.223230911484942</v>
      </c>
      <c r="R48" s="9">
        <v>9.9665838060006013</v>
      </c>
      <c r="S48" s="9">
        <v>9.6490561714956531</v>
      </c>
      <c r="T48" s="9">
        <v>9.3516878270439925</v>
      </c>
      <c r="U48" s="9">
        <v>9.0462750779603471</v>
      </c>
      <c r="V48" s="9">
        <v>8.7330153943800894</v>
      </c>
      <c r="W48" s="9">
        <v>8.4103852644832298</v>
      </c>
      <c r="X48" s="9">
        <v>8.0785394705963309</v>
      </c>
      <c r="Y48" s="9">
        <v>7.7339184642774654</v>
      </c>
      <c r="Z48" s="9">
        <v>7.3797213251180001</v>
      </c>
      <c r="AA48" s="9">
        <v>7.010942983215223</v>
      </c>
    </row>
    <row r="49" spans="1:27">
      <c r="A49" s="19"/>
      <c r="B49" s="19" t="s">
        <v>38</v>
      </c>
      <c r="C49" s="9">
        <v>12.058055690402281</v>
      </c>
      <c r="D49" s="9">
        <v>11.277042731869303</v>
      </c>
      <c r="E49" s="9">
        <v>10.695839360567929</v>
      </c>
      <c r="F49" s="9">
        <v>10.249929354775103</v>
      </c>
      <c r="G49" s="9">
        <v>9.8996111231344042</v>
      </c>
      <c r="H49" s="9">
        <v>9.6705511783131541</v>
      </c>
      <c r="I49" s="9">
        <v>9.4595935077993119</v>
      </c>
      <c r="J49" s="9">
        <v>9.2568100664865529</v>
      </c>
      <c r="K49" s="9">
        <v>9.0635941477137898</v>
      </c>
      <c r="L49" s="9">
        <v>8.8809963172498119</v>
      </c>
      <c r="M49" s="9">
        <v>8.7083645356673411</v>
      </c>
      <c r="N49" s="9">
        <v>8.5459467886343763</v>
      </c>
      <c r="O49" s="9">
        <v>8.378017563731234</v>
      </c>
      <c r="P49" s="9">
        <v>8.1692745226097276</v>
      </c>
      <c r="Q49" s="9">
        <v>7.9583541770082356</v>
      </c>
      <c r="R49" s="9">
        <v>7.742370616067606</v>
      </c>
      <c r="S49" s="9">
        <v>7.5210167520455959</v>
      </c>
      <c r="T49" s="9">
        <v>7.2935967218505855</v>
      </c>
      <c r="U49" s="9">
        <v>7.0593654514788922</v>
      </c>
      <c r="V49" s="9">
        <v>6.8189127742693616</v>
      </c>
      <c r="W49" s="9">
        <v>6.5696004449625267</v>
      </c>
      <c r="X49" s="9">
        <v>6.313086910600088</v>
      </c>
      <c r="Y49" s="9">
        <v>6.0456361187009273</v>
      </c>
      <c r="Z49" s="9">
        <v>5.7685368074404133</v>
      </c>
      <c r="AA49" s="9">
        <v>5.4825184792642405</v>
      </c>
    </row>
    <row r="50" spans="1:27">
      <c r="A50" s="19"/>
      <c r="B50" s="19" t="s">
        <v>39</v>
      </c>
      <c r="C50" s="9">
        <v>9.0757266230348215</v>
      </c>
      <c r="D50" s="9">
        <v>8.4743391560584769</v>
      </c>
      <c r="E50" s="9">
        <v>8.0317112318620065</v>
      </c>
      <c r="F50" s="9">
        <v>7.6946545521614151</v>
      </c>
      <c r="G50" s="9">
        <v>7.4316693211028051</v>
      </c>
      <c r="H50" s="9">
        <v>7.2613452817704429</v>
      </c>
      <c r="I50" s="9">
        <v>7.1046318375154165</v>
      </c>
      <c r="J50" s="9">
        <v>6.9541656410676023</v>
      </c>
      <c r="K50" s="9">
        <v>6.8108568713417803</v>
      </c>
      <c r="L50" s="9">
        <v>6.6758046240945781</v>
      </c>
      <c r="M50" s="9">
        <v>6.5481532133333014</v>
      </c>
      <c r="N50" s="9">
        <v>6.4278962350883138</v>
      </c>
      <c r="O50" s="9">
        <v>6.3043359725688548</v>
      </c>
      <c r="P50" s="9">
        <v>6.1481728526331674</v>
      </c>
      <c r="Q50" s="9">
        <v>5.9908772290269718</v>
      </c>
      <c r="R50" s="9">
        <v>5.8299878742580757</v>
      </c>
      <c r="S50" s="9">
        <v>5.6642616404279789</v>
      </c>
      <c r="T50" s="9">
        <v>5.4930660519331003</v>
      </c>
      <c r="U50" s="9">
        <v>5.3171796563093041</v>
      </c>
      <c r="V50" s="9">
        <v>5.1354229188609848</v>
      </c>
      <c r="W50" s="9">
        <v>4.9464551221252195</v>
      </c>
      <c r="X50" s="9">
        <v>4.7522406276286269</v>
      </c>
      <c r="Y50" s="9">
        <v>4.5475484026664601</v>
      </c>
      <c r="Z50" s="9">
        <v>4.3345661501072827</v>
      </c>
      <c r="AA50" s="9">
        <v>4.1196229478646709</v>
      </c>
    </row>
    <row r="51" spans="1:27">
      <c r="A51" s="19"/>
      <c r="B51" s="19" t="s">
        <v>40</v>
      </c>
      <c r="C51" s="9">
        <v>6.6589860431805032</v>
      </c>
      <c r="D51" s="9">
        <v>6.2084657631065516</v>
      </c>
      <c r="E51" s="9">
        <v>5.8793232257209285</v>
      </c>
      <c r="F51" s="9">
        <v>5.629412533876315</v>
      </c>
      <c r="G51" s="9">
        <v>5.435550232403024</v>
      </c>
      <c r="H51" s="9">
        <v>5.3099944825597936</v>
      </c>
      <c r="I51" s="9">
        <v>5.1947009480833586</v>
      </c>
      <c r="J51" s="9">
        <v>5.0843048764259766</v>
      </c>
      <c r="K51" s="9">
        <v>4.979144163540739</v>
      </c>
      <c r="L51" s="9">
        <v>4.8806869512584541</v>
      </c>
      <c r="M51" s="9">
        <v>4.7873073211627055</v>
      </c>
      <c r="N51" s="9">
        <v>4.6993580567130175</v>
      </c>
      <c r="O51" s="9">
        <v>4.6097928111644793</v>
      </c>
      <c r="P51" s="9">
        <v>4.4961005194964301</v>
      </c>
      <c r="Q51" s="9">
        <v>4.3819872989921089</v>
      </c>
      <c r="R51" s="9">
        <v>4.2649228401010753</v>
      </c>
      <c r="S51" s="9">
        <v>4.1450135117471145</v>
      </c>
      <c r="T51" s="9">
        <v>4.0214102997471821</v>
      </c>
      <c r="U51" s="9">
        <v>3.8946070382808955</v>
      </c>
      <c r="V51" s="9">
        <v>3.7632824472645776</v>
      </c>
      <c r="W51" s="9">
        <v>3.6273600765154574</v>
      </c>
      <c r="X51" s="9">
        <v>3.4881926975884703</v>
      </c>
      <c r="Y51" s="9">
        <v>3.3433213948977136</v>
      </c>
      <c r="Z51" s="9">
        <v>3.1909587910026564</v>
      </c>
      <c r="AA51" s="9">
        <v>3.0523996956283717</v>
      </c>
    </row>
    <row r="52" spans="1:27">
      <c r="A52" s="19"/>
      <c r="B52" s="19" t="s">
        <v>41</v>
      </c>
      <c r="C52" s="9">
        <v>4.711508959947535</v>
      </c>
      <c r="D52" s="9">
        <v>4.3926575851084371</v>
      </c>
      <c r="E52" s="9">
        <v>4.1613605161581377</v>
      </c>
      <c r="F52" s="9">
        <v>3.9855517794742239</v>
      </c>
      <c r="G52" s="9">
        <v>3.8503837138879144</v>
      </c>
      <c r="H52" s="9">
        <v>3.762306739169115</v>
      </c>
      <c r="I52" s="9">
        <v>3.6815939899562924</v>
      </c>
      <c r="J52" s="9">
        <v>3.6044456542042171</v>
      </c>
      <c r="K52" s="9">
        <v>3.5312191479353054</v>
      </c>
      <c r="L52" s="9">
        <v>3.4629328794931094</v>
      </c>
      <c r="M52" s="9">
        <v>3.3980070338305834</v>
      </c>
      <c r="N52" s="9">
        <v>3.3365511508236421</v>
      </c>
      <c r="O52" s="9">
        <v>3.2748574296644595</v>
      </c>
      <c r="P52" s="9">
        <v>3.1957238293991801</v>
      </c>
      <c r="Q52" s="9">
        <v>3.1165650106626632</v>
      </c>
      <c r="R52" s="9">
        <v>3.0353936238556933</v>
      </c>
      <c r="S52" s="9">
        <v>2.9519623633898817</v>
      </c>
      <c r="T52" s="9">
        <v>2.866418360912856</v>
      </c>
      <c r="U52" s="9">
        <v>2.7800694179432375</v>
      </c>
      <c r="V52" s="9">
        <v>2.6895733310800547</v>
      </c>
      <c r="W52" s="9">
        <v>2.5946083388867853</v>
      </c>
      <c r="X52" s="9">
        <v>2.4970965265387077</v>
      </c>
      <c r="Y52" s="9">
        <v>2.3995039079396792</v>
      </c>
      <c r="Z52" s="9">
        <v>2.3022871011431754</v>
      </c>
      <c r="AA52" s="9">
        <v>2.2193736625938296</v>
      </c>
    </row>
    <row r="54" spans="1:27">
      <c r="A54" s="19" t="s">
        <v>34</v>
      </c>
      <c r="B54" s="13" t="s">
        <v>35</v>
      </c>
      <c r="C54" s="12">
        <v>25</v>
      </c>
      <c r="D54" s="12">
        <v>24</v>
      </c>
      <c r="E54" s="12">
        <v>23</v>
      </c>
      <c r="F54" s="12">
        <v>22</v>
      </c>
      <c r="G54" s="12">
        <v>21</v>
      </c>
      <c r="H54" s="12">
        <v>20</v>
      </c>
      <c r="I54" s="12">
        <v>19</v>
      </c>
      <c r="J54" s="12">
        <v>18</v>
      </c>
      <c r="K54" s="12">
        <v>17</v>
      </c>
      <c r="L54" s="12">
        <v>16</v>
      </c>
      <c r="M54" s="12">
        <v>15</v>
      </c>
      <c r="N54" s="12">
        <v>14</v>
      </c>
      <c r="O54" s="12">
        <v>13</v>
      </c>
      <c r="P54" s="12">
        <v>12</v>
      </c>
      <c r="Q54" s="12">
        <v>11</v>
      </c>
      <c r="R54" s="12">
        <v>10</v>
      </c>
      <c r="S54" s="12">
        <v>9</v>
      </c>
      <c r="T54" s="12">
        <v>8</v>
      </c>
      <c r="U54" s="12">
        <v>7</v>
      </c>
      <c r="V54" s="12">
        <v>6</v>
      </c>
      <c r="W54" s="12">
        <v>5</v>
      </c>
      <c r="X54" s="12">
        <v>4</v>
      </c>
      <c r="Y54" s="12">
        <v>3</v>
      </c>
      <c r="Z54" s="12">
        <v>2</v>
      </c>
      <c r="AA54" s="12">
        <v>1</v>
      </c>
    </row>
    <row r="55" spans="1:27">
      <c r="B55" s="14" t="s">
        <v>36</v>
      </c>
      <c r="C55" s="16">
        <v>0.11700000000000001</v>
      </c>
      <c r="D55" s="16">
        <v>0.17499999999999999</v>
      </c>
      <c r="E55" s="16">
        <v>0.23499999999999999</v>
      </c>
      <c r="F55" s="16">
        <v>0.29799999999999999</v>
      </c>
      <c r="G55" s="16">
        <v>0.36499999999999999</v>
      </c>
      <c r="H55" s="16">
        <v>0.438</v>
      </c>
      <c r="I55" s="16">
        <v>0.501</v>
      </c>
      <c r="J55" s="16">
        <v>0.56000000000000005</v>
      </c>
      <c r="K55" s="16">
        <v>0.61699999999999999</v>
      </c>
      <c r="L55" s="16">
        <v>0.67300000000000004</v>
      </c>
      <c r="M55" s="16">
        <v>0.72899999999999998</v>
      </c>
      <c r="N55" s="16">
        <v>0.78700000000000003</v>
      </c>
      <c r="O55" s="16">
        <v>0.82699999999999996</v>
      </c>
      <c r="P55" s="16">
        <v>0.872</v>
      </c>
      <c r="Q55" s="16">
        <v>0.91800000000000004</v>
      </c>
      <c r="R55" s="16">
        <v>0.96399999999999997</v>
      </c>
      <c r="S55" s="16">
        <v>1.012</v>
      </c>
      <c r="T55" s="16">
        <v>1.0620000000000001</v>
      </c>
      <c r="U55" s="16">
        <v>1.115</v>
      </c>
      <c r="V55" s="16">
        <v>1.171</v>
      </c>
      <c r="W55" s="16">
        <v>1.2330000000000001</v>
      </c>
      <c r="X55" s="16">
        <v>1.3</v>
      </c>
      <c r="Y55" s="16">
        <v>1.3759999999999999</v>
      </c>
      <c r="Z55" s="15">
        <v>1.462</v>
      </c>
      <c r="AA55" s="15">
        <v>1.5609999999999999</v>
      </c>
    </row>
    <row r="56" spans="1:27">
      <c r="B56" s="19" t="s">
        <v>37</v>
      </c>
      <c r="C56" s="9">
        <v>17.5</v>
      </c>
      <c r="D56" s="9">
        <v>16.38</v>
      </c>
      <c r="E56" s="9">
        <v>15.52</v>
      </c>
      <c r="F56" s="9">
        <v>14.85</v>
      </c>
      <c r="G56" s="9">
        <v>14.3</v>
      </c>
      <c r="H56" s="9">
        <v>13.93</v>
      </c>
      <c r="I56" s="9">
        <v>13.6</v>
      </c>
      <c r="J56" s="9">
        <v>13.28</v>
      </c>
      <c r="K56" s="9">
        <v>12.97</v>
      </c>
      <c r="L56" s="9">
        <v>12.67</v>
      </c>
      <c r="M56" s="9">
        <v>12.4</v>
      </c>
      <c r="N56" s="9">
        <v>12.13</v>
      </c>
      <c r="O56" s="9">
        <v>11.87</v>
      </c>
      <c r="P56" s="9">
        <v>11.56</v>
      </c>
      <c r="Q56" s="9">
        <v>11.23</v>
      </c>
      <c r="R56" s="9">
        <v>10.9</v>
      </c>
      <c r="S56" s="9">
        <v>10.56</v>
      </c>
      <c r="T56" s="9">
        <v>10.220000000000001</v>
      </c>
      <c r="U56" s="9">
        <v>9.86</v>
      </c>
      <c r="V56" s="9">
        <v>9.5</v>
      </c>
      <c r="W56" s="9">
        <v>9.1300000000000008</v>
      </c>
      <c r="X56" s="9">
        <v>8.76</v>
      </c>
      <c r="Y56" s="9">
        <v>8.3699999999999992</v>
      </c>
      <c r="Z56" s="9">
        <v>7.9640000000000004</v>
      </c>
      <c r="AA56" s="9">
        <v>7.548</v>
      </c>
    </row>
    <row r="57" spans="1:27">
      <c r="B57" s="19" t="s">
        <v>38</v>
      </c>
      <c r="C57" s="9">
        <v>13.58</v>
      </c>
      <c r="D57" s="9">
        <v>12.66</v>
      </c>
      <c r="E57" s="9">
        <v>11.97</v>
      </c>
      <c r="F57" s="9">
        <v>11.44</v>
      </c>
      <c r="G57" s="9">
        <v>11.01</v>
      </c>
      <c r="H57" s="9">
        <v>10.73</v>
      </c>
      <c r="I57" s="9">
        <v>10.48</v>
      </c>
      <c r="J57" s="9">
        <v>10.23</v>
      </c>
      <c r="K57" s="9">
        <v>10</v>
      </c>
      <c r="L57" s="9">
        <v>9.7899999999999991</v>
      </c>
      <c r="M57" s="9">
        <v>9.56</v>
      </c>
      <c r="N57" s="9">
        <v>9.3699999999999992</v>
      </c>
      <c r="O57" s="9">
        <v>9.17</v>
      </c>
      <c r="P57" s="9">
        <v>8.92</v>
      </c>
      <c r="Q57" s="9">
        <v>8.67</v>
      </c>
      <c r="R57" s="9">
        <v>8.42</v>
      </c>
      <c r="S57" s="9">
        <v>8.1590000000000007</v>
      </c>
      <c r="T57" s="9">
        <v>7.8929999999999998</v>
      </c>
      <c r="U57" s="9">
        <v>7.62</v>
      </c>
      <c r="V57" s="9">
        <v>7.3390000000000004</v>
      </c>
      <c r="W57" s="9">
        <v>7.0510000000000002</v>
      </c>
      <c r="X57" s="9">
        <v>6.7539999999999996</v>
      </c>
      <c r="Y57" s="9">
        <v>6.4480000000000004</v>
      </c>
      <c r="Z57" s="9">
        <v>6.13</v>
      </c>
      <c r="AA57" s="9">
        <v>5.8</v>
      </c>
    </row>
    <row r="58" spans="1:27">
      <c r="B58" s="19" t="s">
        <v>39</v>
      </c>
      <c r="C58" s="9">
        <v>10.17</v>
      </c>
      <c r="D58" s="9">
        <v>9.4600000000000009</v>
      </c>
      <c r="E58" s="9">
        <v>8.94</v>
      </c>
      <c r="F58" s="9">
        <v>8.5399999999999991</v>
      </c>
      <c r="G58" s="9">
        <v>8.2200000000000006</v>
      </c>
      <c r="H58" s="9">
        <v>8.01</v>
      </c>
      <c r="I58" s="9">
        <v>7.83</v>
      </c>
      <c r="J58" s="9">
        <v>7.65</v>
      </c>
      <c r="K58" s="9">
        <v>7.48</v>
      </c>
      <c r="L58" s="9">
        <v>7.32</v>
      </c>
      <c r="M58" s="9">
        <v>7.16</v>
      </c>
      <c r="N58" s="9">
        <v>7.02</v>
      </c>
      <c r="O58" s="9">
        <v>6.88</v>
      </c>
      <c r="P58" s="9">
        <v>6.7</v>
      </c>
      <c r="Q58" s="9">
        <v>6.52</v>
      </c>
      <c r="R58" s="9">
        <v>6.33</v>
      </c>
      <c r="S58" s="9">
        <v>6.14</v>
      </c>
      <c r="T58" s="9">
        <v>5.95</v>
      </c>
      <c r="U58" s="9">
        <v>5.75</v>
      </c>
      <c r="V58" s="9">
        <v>5.54</v>
      </c>
      <c r="W58" s="9">
        <v>5.33</v>
      </c>
      <c r="X58" s="9">
        <v>5.1100000000000003</v>
      </c>
      <c r="Y58" s="9">
        <v>4.88</v>
      </c>
      <c r="Z58" s="9">
        <v>4.6399999999999997</v>
      </c>
      <c r="AA58" s="9">
        <v>4.391</v>
      </c>
    </row>
    <row r="59" spans="1:27">
      <c r="B59" s="19" t="s">
        <v>40</v>
      </c>
      <c r="C59" s="9">
        <v>7.45</v>
      </c>
      <c r="D59" s="9">
        <v>6.91</v>
      </c>
      <c r="E59" s="9">
        <v>6.52</v>
      </c>
      <c r="F59" s="9">
        <v>6.22</v>
      </c>
      <c r="G59" s="9">
        <v>5.99</v>
      </c>
      <c r="H59" s="9">
        <v>5.84</v>
      </c>
      <c r="I59" s="9">
        <v>5.7</v>
      </c>
      <c r="J59" s="9">
        <v>5.57</v>
      </c>
      <c r="K59" s="9">
        <v>5.44</v>
      </c>
      <c r="L59" s="9">
        <v>5.33</v>
      </c>
      <c r="M59" s="9">
        <v>5.21</v>
      </c>
      <c r="N59" s="9">
        <v>5.1100000000000003</v>
      </c>
      <c r="O59" s="9">
        <v>5</v>
      </c>
      <c r="P59" s="9">
        <v>4.88</v>
      </c>
      <c r="Q59" s="9">
        <v>4.74</v>
      </c>
      <c r="R59" s="9">
        <v>4.6100000000000003</v>
      </c>
      <c r="S59" s="9">
        <v>4.47</v>
      </c>
      <c r="T59" s="9">
        <v>4.33</v>
      </c>
      <c r="U59" s="9">
        <v>4.1900000000000004</v>
      </c>
      <c r="V59" s="9">
        <v>4.04</v>
      </c>
      <c r="W59" s="9">
        <v>3.89</v>
      </c>
      <c r="X59" s="9">
        <v>3.73</v>
      </c>
      <c r="Y59" s="9">
        <v>3.57</v>
      </c>
      <c r="Z59" s="9">
        <v>3.3980000000000001</v>
      </c>
      <c r="AA59" s="9">
        <v>3.222</v>
      </c>
    </row>
    <row r="60" spans="1:27">
      <c r="B60" s="19" t="s">
        <v>41</v>
      </c>
      <c r="C60" s="9">
        <v>5.24</v>
      </c>
      <c r="D60" s="9">
        <v>4.8600000000000003</v>
      </c>
      <c r="E60" s="9">
        <v>4.59</v>
      </c>
      <c r="F60" s="9">
        <v>4.38</v>
      </c>
      <c r="G60" s="9">
        <v>4.21</v>
      </c>
      <c r="H60" s="9">
        <v>4.1100000000000003</v>
      </c>
      <c r="I60" s="9">
        <v>4.01</v>
      </c>
      <c r="J60" s="9">
        <v>3.92</v>
      </c>
      <c r="K60" s="9">
        <v>3.92</v>
      </c>
      <c r="L60" s="9">
        <v>3.75</v>
      </c>
      <c r="M60" s="9">
        <v>3.67</v>
      </c>
      <c r="N60" s="9">
        <v>3.6</v>
      </c>
      <c r="O60" s="9">
        <v>3.53</v>
      </c>
      <c r="P60" s="9">
        <v>3.44</v>
      </c>
      <c r="Q60" s="9">
        <v>3.35</v>
      </c>
      <c r="R60" s="9">
        <v>3.26</v>
      </c>
      <c r="S60" s="9">
        <v>3.16</v>
      </c>
      <c r="T60" s="9">
        <v>3.07</v>
      </c>
      <c r="U60" s="9">
        <v>2.97</v>
      </c>
      <c r="V60" s="9">
        <v>2.87</v>
      </c>
      <c r="W60" s="9">
        <v>2.76</v>
      </c>
      <c r="X60" s="9">
        <v>2.65</v>
      </c>
      <c r="Y60" s="9">
        <v>2.54</v>
      </c>
      <c r="Z60" s="9">
        <v>2.4289999999999998</v>
      </c>
      <c r="AA60" s="9">
        <v>2.3090000000000002</v>
      </c>
    </row>
    <row r="61" spans="1:27">
      <c r="C61" s="49">
        <v>1</v>
      </c>
      <c r="D61" s="49">
        <v>2</v>
      </c>
      <c r="E61" s="49">
        <v>3</v>
      </c>
      <c r="F61" s="49">
        <v>4</v>
      </c>
      <c r="G61" s="49">
        <v>5</v>
      </c>
      <c r="H61" s="49">
        <v>6</v>
      </c>
      <c r="I61" s="49">
        <v>7</v>
      </c>
      <c r="J61" s="49">
        <v>8</v>
      </c>
      <c r="K61" s="49">
        <v>9</v>
      </c>
      <c r="L61" s="49">
        <v>10</v>
      </c>
      <c r="M61" s="49">
        <v>11</v>
      </c>
      <c r="N61" s="49">
        <v>12</v>
      </c>
      <c r="O61" s="49">
        <v>13</v>
      </c>
      <c r="P61" s="49">
        <v>14</v>
      </c>
      <c r="Q61" s="49">
        <v>15</v>
      </c>
      <c r="R61" s="49">
        <v>16</v>
      </c>
      <c r="S61" s="49">
        <v>17</v>
      </c>
      <c r="T61" s="49">
        <v>18</v>
      </c>
      <c r="U61" s="49">
        <v>19</v>
      </c>
      <c r="V61" s="49">
        <v>20</v>
      </c>
      <c r="W61" s="49">
        <v>21</v>
      </c>
      <c r="X61" s="49">
        <v>22</v>
      </c>
      <c r="Y61" s="49">
        <v>23</v>
      </c>
      <c r="Z61" s="49">
        <v>24</v>
      </c>
      <c r="AA61" s="49">
        <v>25</v>
      </c>
    </row>
  </sheetData>
  <sheetProtection sheet="1" objects="1" scenarios="1"/>
  <protectedRanges>
    <protectedRange sqref="K2:K3" name="Range1"/>
  </protectedRanges>
  <pageMargins left="0.75" right="0.75" top="1" bottom="1" header="0.5" footer="0.5"/>
  <pageSetup paperSize="9" orientation="portrait" r:id="rId1"/>
  <headerFooter alignWithMargins="0"/>
  <drawing r:id="rId2"/>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zoomScaleNormal="100" workbookViewId="0">
      <selection activeCell="Q3" sqref="Q3"/>
    </sheetView>
  </sheetViews>
  <sheetFormatPr defaultRowHeight="12.75"/>
  <sheetData/>
  <sheetProtection sheet="1" objects="1" scenarios="1" selectLockedCells="1" selectUnlockedCells="1"/>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Introduction</vt:lpstr>
      <vt:lpstr>Model data</vt:lpstr>
      <vt:lpstr>Method</vt:lpstr>
      <vt:lpstr>Life expectancies</vt:lpstr>
      <vt:lpstr>Graphs</vt:lpstr>
    </vt:vector>
  </TitlesOfParts>
  <Company>University of Cape Town (Commerce 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 Dorrrington</dc:creator>
  <cp:lastModifiedBy>Ian Timaeus</cp:lastModifiedBy>
  <dcterms:created xsi:type="dcterms:W3CDTF">2011-09-04T06:06:40Z</dcterms:created>
  <dcterms:modified xsi:type="dcterms:W3CDTF">2017-03-06T13:45:25Z</dcterms:modified>
</cp:coreProperties>
</file>